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2195" tabRatio="851" firstSheet="10" activeTab="10"/>
  </bookViews>
  <sheets>
    <sheet name="dSTART" sheetId="1" state="hidden" r:id="rId1"/>
    <sheet name="DATA" sheetId="2" state="hidden" r:id="rId2"/>
    <sheet name="DATA_fee_detail" sheetId="3" state="hidden" r:id="rId3"/>
    <sheet name="dDATA_item_list" sheetId="4" state="hidden" r:id="rId4"/>
    <sheet name="dDATA_cst" sheetId="5" state="hidden" r:id="rId5"/>
    <sheet name="dIMPOSSIBLE" sheetId="6" state="hidden" r:id="rId6"/>
    <sheet name="dFIRESTATION_info" sheetId="7" state="hidden" r:id="rId7"/>
    <sheet name="dSTR_OFFICE_info" sheetId="8" state="hidden" r:id="rId8"/>
    <sheet name="dOFFICE_name" sheetId="9" state="hidden" r:id="rId9"/>
    <sheet name="dINFOMATION" sheetId="10" state="hidden" r:id="rId10"/>
    <sheet name="一般用" sheetId="11" r:id="rId11"/>
    <sheet name="手数料_旧" sheetId="12" state="hidden" r:id="rId12"/>
    <sheet name="NoObject" sheetId="13" state="hidden" r:id="rId13"/>
  </sheets>
  <definedNames>
    <definedName name="__IntlFixup" hidden="1">TRUE</definedName>
    <definedName name="__IntlFixupTable" hidden="1">#REF!</definedName>
    <definedName name="_button_kind">'DATA'!$G$78</definedName>
    <definedName name="_button_no">'DATA'!$G$82</definedName>
    <definedName name="_button2">'DATA'!$G$81</definedName>
    <definedName name="buildobject__shinsei_build_kouji">'DATA'!$G$543</definedName>
    <definedName name="charge_BASE_DATE">'DATA_fee_detail'!$G$104</definedName>
    <definedName name="charge_BASIC_CHARGE">'DATA_fee_detail'!$G$125</definedName>
    <definedName name="charge_cust__caption">'DATA_fee_detail'!$G$110</definedName>
    <definedName name="charge_DETAIL_BIKO">'DATA_fee_detail'!$G$121</definedName>
    <definedName name="charge_income01_INCOME_DATE">'DATA_fee_detail'!$G$194</definedName>
    <definedName name="charge_income01_INCOME_MONEY">'DATA_fee_detail'!$G$197</definedName>
    <definedName name="charge_income02_INCOME_DATE">'DATA_fee_detail'!$G$195</definedName>
    <definedName name="charge_income02_INCOME_MONEY">'DATA_fee_detail'!$G$198</definedName>
    <definedName name="charge_income03_INCOME_DATE">'DATA_fee_detail'!$G$196</definedName>
    <definedName name="charge_income03_INCOME_MONEY">'DATA_fee_detail'!$G$199</definedName>
    <definedName name="charge_meisai01_ITEM_NAME">'DATA_fee_detail'!$G$138</definedName>
    <definedName name="charge_meisai01_SYOUKEI">'DATA_fee_detail'!$G$141</definedName>
    <definedName name="charge_meisai02_ITEM_NAME">'DATA_fee_detail'!$G$143</definedName>
    <definedName name="charge_meisai02_SYOUKEI">'DATA_fee_detail'!$G$146</definedName>
    <definedName name="charge_meisai03_ITEM_NAME">'DATA_fee_detail'!$G$148</definedName>
    <definedName name="charge_meisai03_SYOUKEI">'DATA_fee_detail'!$G$151</definedName>
    <definedName name="charge_meisai04_ITEM_NAME">'DATA_fee_detail'!$G$153</definedName>
    <definedName name="charge_meisai04_SYOUKEI">'DATA_fee_detail'!$G$156</definedName>
    <definedName name="charge_meisai05_ITEM_NAME">'DATA_fee_detail'!$G$158</definedName>
    <definedName name="charge_meisai05_SYOUKEI">'DATA_fee_detail'!$G$161</definedName>
    <definedName name="charge_meisai06_ITEM_NAME">'DATA_fee_detail'!$G$163</definedName>
    <definedName name="charge_meisai06_SYOUKEI">'DATA_fee_detail'!$G$166</definedName>
    <definedName name="charge_meisai07_ITEM_NAME">'DATA_fee_detail'!$G$168</definedName>
    <definedName name="charge_meisai07_SYOUKEI">'DATA_fee_detail'!$G$171</definedName>
    <definedName name="charge_meisai08_ITEM_NAME">'DATA_fee_detail'!$G$173</definedName>
    <definedName name="charge_meisai08_SYOUKEI">'DATA_fee_detail'!$G$176</definedName>
    <definedName name="charge_meisai09_ITEM_NAME">'DATA_fee_detail'!$G$178</definedName>
    <definedName name="charge_meisai09_SYOUKEI">'DATA_fee_detail'!$G$181</definedName>
    <definedName name="charge_meisai10_ITEM_NAME">'DATA_fee_detail'!$G$183</definedName>
    <definedName name="charge_meisai10_SYOUKEI">'DATA_fee_detail'!$G$186</definedName>
    <definedName name="charge_meisai11_ITEM_NAME">'DATA_fee_detail'!$G$188</definedName>
    <definedName name="charge_meisai11_SYOUKEI">'DATA_fee_detail'!$G$191</definedName>
    <definedName name="charge_NOTE">'DATA_fee_detail'!$G$120</definedName>
    <definedName name="charge_RECEIPT_DATE">'DATA_fee_detail'!$G$117</definedName>
    <definedName name="charge_RECEIPT_PRICE">'DATA_fee_detail'!$G$114</definedName>
    <definedName name="charge_RECEIPT_TO">'DATA_fee_detail'!$G$115</definedName>
    <definedName name="charge_STR_CHARGE">'DATA_fee_detail'!$G$127</definedName>
    <definedName name="charge_STR_CHARGE_WARIMASHI">'DATA_fee_detail'!$G$132</definedName>
    <definedName name="charge_STR_SIHARAI_DATE">'DATA_fee_detail'!$G$126</definedName>
    <definedName name="charge_strtower01_CHARGE">'DATA_fee_detail'!$G$205</definedName>
    <definedName name="charge_strtower01_CHARGE_TOTAL">'DATA_fee_detail'!$G$207</definedName>
    <definedName name="charge_strtower01_CHARGE_WARIMASHI">'DATA_fee_detail'!$G$206</definedName>
    <definedName name="charge_strtower02_CHARGE">'DATA_fee_detail'!$G$211</definedName>
    <definedName name="charge_strtower02_CHARGE_TOTAL">'DATA_fee_detail'!$G$213</definedName>
    <definedName name="charge_strtower02_CHARGE_WARIMASHI">'DATA_fee_detail'!$G$212</definedName>
    <definedName name="charge_strtower03_CHARGE">'DATA_fee_detail'!$G$217</definedName>
    <definedName name="charge_strtower03_CHARGE_TOTAL">'DATA_fee_detail'!$G$219</definedName>
    <definedName name="charge_strtower03_CHARGE_WARIMASHI">'DATA_fee_detail'!$G$218</definedName>
    <definedName name="charge_strtower04_CHARGE">'DATA_fee_detail'!$G$223</definedName>
    <definedName name="charge_strtower04_CHARGE_TOTAL">'DATA_fee_detail'!$G$225</definedName>
    <definedName name="charge_strtower04_CHARGE_WARIMASHI">'DATA_fee_detail'!$G$224</definedName>
    <definedName name="charge_strtower05_CHARGE">'DATA_fee_detail'!$G$229</definedName>
    <definedName name="charge_strtower05_CHARGE_TOTAL">'DATA_fee_detail'!$G$231</definedName>
    <definedName name="charge_strtower05_CHARGE_WARIMASHI">'DATA_fee_detail'!$G$230</definedName>
    <definedName name="charge_strtower06_CHARGE">'DATA_fee_detail'!$G$235</definedName>
    <definedName name="charge_strtower06_CHARGE_TOTAL">'DATA_fee_detail'!$G$237</definedName>
    <definedName name="charge_strtower06_CHARGE_WARIMASHI">'DATA_fee_detail'!$G$236</definedName>
    <definedName name="charge_strtower07_CHARGE">'DATA_fee_detail'!$G$241</definedName>
    <definedName name="charge_strtower07_CHARGE_TOTAL">'DATA_fee_detail'!$G$243</definedName>
    <definedName name="charge_strtower07_CHARGE_WARIMASHI">'DATA_fee_detail'!$G$242</definedName>
    <definedName name="charge_strtower08_CHARGE">'DATA_fee_detail'!$G$247</definedName>
    <definedName name="charge_strtower08_CHARGE_TOTAL">'DATA_fee_detail'!$G$249</definedName>
    <definedName name="charge_strtower08_CHARGE_WARIMASHI">'DATA_fee_detail'!$G$248</definedName>
    <definedName name="charge_strtower09_CHARGE">'DATA_fee_detail'!$G$253</definedName>
    <definedName name="charge_strtower09_CHARGE_TOTAL">'DATA_fee_detail'!$G$255</definedName>
    <definedName name="charge_strtower09_CHARGE_WARIMASHI">'DATA_fee_detail'!$G$254</definedName>
    <definedName name="charge_strtower10_CHARGE">'DATA_fee_detail'!$G$259</definedName>
    <definedName name="charge_strtower10_CHARGE_TOTAL">'DATA_fee_detail'!$G$261</definedName>
    <definedName name="charge_strtower10_CHARGE_WARIMASHI">'DATA_fee_detail'!$G$260</definedName>
    <definedName name="charge_strtower11_CHARGE">'DATA_fee_detail'!$G$265</definedName>
    <definedName name="charge_strtower11_CHARGE_TOTAL">'DATA_fee_detail'!$G$267</definedName>
    <definedName name="charge_strtower11_CHARGE_WARIMASHI">'DATA_fee_detail'!$G$266</definedName>
    <definedName name="charge_strtower12_CHARGE">'DATA_fee_detail'!$G$271</definedName>
    <definedName name="charge_strtower12_CHARGE_TOTAL">'DATA_fee_detail'!$G$273</definedName>
    <definedName name="charge_strtower12_CHARGE_WARIMASHI">'DATA_fee_detail'!$G$272</definedName>
    <definedName name="charge_strtower13_CHARGE">'DATA_fee_detail'!$G$277</definedName>
    <definedName name="charge_strtower13_CHARGE_TOTAL">'DATA_fee_detail'!$G$279</definedName>
    <definedName name="charge_strtower13_CHARGE_WARIMASHI">'DATA_fee_detail'!$G$278</definedName>
    <definedName name="charge_strtower14_CHARGE">'DATA_fee_detail'!$G$283</definedName>
    <definedName name="charge_strtower14_CHARGE_TOTAL">'DATA_fee_detail'!$G$285</definedName>
    <definedName name="charge_strtower14_CHARGE_WARIMASHI">'DATA_fee_detail'!$G$284</definedName>
    <definedName name="charge_strtower15_CHARGE">'DATA_fee_detail'!$G$289</definedName>
    <definedName name="charge_strtower15_CHARGE_TOTAL">'DATA_fee_detail'!$G$291</definedName>
    <definedName name="charge_strtower15_CHARGE_WARIMASHI">'DATA_fee_detail'!$G$290</definedName>
    <definedName name="charge_strtower16_CHARGE">'DATA_fee_detail'!$G$295</definedName>
    <definedName name="charge_strtower16_CHARGE_TOTAL">'DATA_fee_detail'!$G$297</definedName>
    <definedName name="charge_strtower16_CHARGE_WARIMASHI">'DATA_fee_detail'!$G$296</definedName>
    <definedName name="charge_strtower17_CHARGE">'DATA_fee_detail'!$G$301</definedName>
    <definedName name="charge_strtower17_CHARGE_TOTAL">'DATA_fee_detail'!$G$303</definedName>
    <definedName name="charge_strtower17_CHARGE_WARIMASHI">'DATA_fee_detail'!$G$302</definedName>
    <definedName name="charge_strtower18_CHARGE">'DATA_fee_detail'!$G$307</definedName>
    <definedName name="charge_strtower18_CHARGE_TOTAL">'DATA_fee_detail'!$G$309</definedName>
    <definedName name="charge_strtower18_CHARGE_WARIMASHI">'DATA_fee_detail'!$G$308</definedName>
    <definedName name="charge_strtower19_CHARGE">'DATA_fee_detail'!$G$313</definedName>
    <definedName name="charge_strtower19_CHARGE_TOTAL">'DATA_fee_detail'!$G$315</definedName>
    <definedName name="charge_strtower19_CHARGE_WARIMASHI">'DATA_fee_detail'!$G$314</definedName>
    <definedName name="charge_strtower20_CHARGE">'DATA_fee_detail'!$G$319</definedName>
    <definedName name="charge_strtower20_CHARGE_TOTAL">'DATA_fee_detail'!$G$321</definedName>
    <definedName name="charge_strtower20_CHARGE_WARIMASHI">'DATA_fee_detail'!$G$320</definedName>
    <definedName name="charge_strtower21_CHARGE">'DATA_fee_detail'!$G$325</definedName>
    <definedName name="charge_strtower21_CHARGE_TOTAL">'DATA_fee_detail'!$G$327</definedName>
    <definedName name="charge_strtower21_CHARGE_WARIMASHI">'DATA_fee_detail'!$G$326</definedName>
    <definedName name="charge_strtower22_CHARGE">'DATA_fee_detail'!$G$331</definedName>
    <definedName name="charge_strtower22_CHARGE_TOTAL">'DATA_fee_detail'!$G$333</definedName>
    <definedName name="charge_strtower22_CHARGE_WARIMASHI">'DATA_fee_detail'!$G$332</definedName>
    <definedName name="charge_strtower23_CHARGE">'DATA_fee_detail'!$G$337</definedName>
    <definedName name="charge_strtower23_CHARGE_TOTAL">'DATA_fee_detail'!$G$339</definedName>
    <definedName name="charge_strtower23_CHARGE_WARIMASHI">'DATA_fee_detail'!$G$338</definedName>
    <definedName name="charge_strtower24_CHARGE">'DATA_fee_detail'!$G$343</definedName>
    <definedName name="charge_strtower24_CHARGE_TOTAL">'DATA_fee_detail'!$G$345</definedName>
    <definedName name="charge_strtower24_CHARGE_WARIMASHI">'DATA_fee_detail'!$G$344</definedName>
    <definedName name="charge_strtower25_CHARGE">'DATA_fee_detail'!$G$349</definedName>
    <definedName name="charge_strtower25_CHARGE_TOTAL">'DATA_fee_detail'!$G$351</definedName>
    <definedName name="charge_strtower25_CHARGE_WARIMASHI">'DATA_fee_detail'!$G$350</definedName>
    <definedName name="charge_strtower26_CHARGE">'DATA_fee_detail'!$G$355</definedName>
    <definedName name="charge_strtower26_CHARGE_TOTAL">'DATA_fee_detail'!$G$357</definedName>
    <definedName name="charge_strtower26_CHARGE_WARIMASHI">'DATA_fee_detail'!$G$356</definedName>
    <definedName name="charge_strtower27_CHARGE">'DATA_fee_detail'!$G$361</definedName>
    <definedName name="charge_strtower27_CHARGE_TOTAL">'DATA_fee_detail'!$G$363</definedName>
    <definedName name="charge_strtower27_CHARGE_WARIMASHI">'DATA_fee_detail'!$G$362</definedName>
    <definedName name="charge_strtower28_CHARGE">'DATA_fee_detail'!$G$367</definedName>
    <definedName name="charge_strtower28_CHARGE_TOTAL">'DATA_fee_detail'!$G$369</definedName>
    <definedName name="charge_strtower28_CHARGE_WARIMASHI">'DATA_fee_detail'!$G$368</definedName>
    <definedName name="charge_strtower29_CHARGE">'DATA_fee_detail'!$G$373</definedName>
    <definedName name="charge_strtower29_CHARGE_TOTAL">'DATA_fee_detail'!$G$375</definedName>
    <definedName name="charge_strtower29_CHARGE_WARIMASHI">'DATA_fee_detail'!$G$374</definedName>
    <definedName name="charge_strtower30_CHARGE">'DATA_fee_detail'!$G$379</definedName>
    <definedName name="charge_strtower30_CHARGE_TOTAL">'DATA_fee_detail'!$G$381</definedName>
    <definedName name="charge_strtower30_CHARGE_WARIMASHI">'DATA_fee_detail'!$G$380</definedName>
    <definedName name="charge_TIIKIWARIMASHI_CHARGE">'DATA_fee_detail'!$G$136</definedName>
    <definedName name="city_city">'DATA'!$G$91</definedName>
    <definedName name="city_CITY_KIND">'DATA'!$G$104</definedName>
    <definedName name="city_CITY_PUBLIC_OFFICE_ID__DEPART_NAME">'DATA'!$G$113</definedName>
    <definedName name="city_CITY_PUBLIC_OFFICE_ID__FAX">'DATA'!$G$114</definedName>
    <definedName name="city_CITY_PUBLIC_OFFICE_ID__GYOUSEI_NAME">'DATA'!$G$116</definedName>
    <definedName name="city_CITY_PUBLIC_OFFICE_ID__NAME">'DATA'!$G$112</definedName>
    <definedName name="city_CITY_PUBLIC_OFFICE_ID__SYUJI_NAME">'DATA'!$G$115</definedName>
    <definedName name="city_FIRE_STATION_ID__DEPART_NAME">'DATA'!$G$96</definedName>
    <definedName name="city_FIRE_STATION_ID__DEST_NAME">'DATA'!$G$97</definedName>
    <definedName name="city_FIRE_STATION_ID__NAME">'DATA'!$G$95</definedName>
    <definedName name="city_HEALTH_CENTER_ID__DEST_NAME">'DATA'!$G$101</definedName>
    <definedName name="city_HEALTH_CENTER_ID__NAME">'DATA'!$G$99</definedName>
    <definedName name="city_HEALTH_CENTER_ID__PURIFIER_TANK_DEST_NAME">'DATA'!$G$100</definedName>
    <definedName name="city_ken">'DATA'!$G$90</definedName>
    <definedName name="city_KEN_PUBLIC_OFFICE_ID__DEPART_NAME">'DATA'!$G$131</definedName>
    <definedName name="city_KEN_PUBLIC_OFFICE_ID__FAX">'DATA'!$G$132</definedName>
    <definedName name="city_KEN_PUBLIC_OFFICE_ID__GYOUSEI_NAME">'DATA'!$G$134</definedName>
    <definedName name="city_KEN_PUBLIC_OFFICE_ID__NAME">'DATA'!$G$130</definedName>
    <definedName name="city_KEN_PUBLIC_OFFICE_ID__SYUJI_NAME">'DATA'!$G$133</definedName>
    <definedName name="city_KEN1_PUBLIC_OFFICE_ID__DEPART_NAME">'DATA'!$G$119</definedName>
    <definedName name="city_KEN1_PUBLIC_OFFICE_ID__FAX">'DATA'!$G$120</definedName>
    <definedName name="city_KEN1_PUBLIC_OFFICE_ID__GYOUSEI_NAME">'DATA'!$G$122</definedName>
    <definedName name="city_KEN1_PUBLIC_OFFICE_ID__NAME">'DATA'!$G$118</definedName>
    <definedName name="city_KEN1_PUBLIC_OFFICE_ID__SYUJI_NAME">'DATA'!$G$121</definedName>
    <definedName name="city_KEN2_PUBLIC_OFFICE_ID__DEPART_NAME">'DATA'!$G$125</definedName>
    <definedName name="city_KEN2_PUBLIC_OFFICE_ID__FAX">'DATA'!$G$126</definedName>
    <definedName name="city_KEN2_PUBLIC_OFFICE_ID__GYOUSEI_NAME">'DATA'!$G$128</definedName>
    <definedName name="city_KEN2_PUBLIC_OFFICE_ID__NAME">'DATA'!$G$124</definedName>
    <definedName name="city_KEN2_PUBLIC_OFFICE_ID__SYUJI_NAME">'DATA'!$G$127</definedName>
    <definedName name="city_street">'DATA'!$G$93</definedName>
    <definedName name="city_town">'DATA'!$G$92</definedName>
    <definedName name="config_ACCOUNT_NO">'DATA'!$G$19</definedName>
    <definedName name="config_ACCOUNT_TYPE">'DATA'!$G$18</definedName>
    <definedName name="config_BANK_BRANCH_NAME">'DATA'!$G$17</definedName>
    <definedName name="config_BANK_NAME">'DATA'!$G$16</definedName>
    <definedName name="config_CUSTOM_CODE">'DATA'!$G$21</definedName>
    <definedName name="config_CUSTOM_TYPE">'DATA'!$G$20</definedName>
    <definedName name="config_PRESENTER_ADDRESS">'DATA'!$G$12</definedName>
    <definedName name="config_PRESENTER_ADDRESS2">'DATA'!$G$13</definedName>
    <definedName name="config_PRESENTER_CORP">'DATA'!$G$10</definedName>
    <definedName name="config_PRESENTER_CORPTYPE">'DATA'!$G$9</definedName>
    <definedName name="config_PRESENTER_DAIHYOSYA">'DATA'!$G$11</definedName>
    <definedName name="config_PRESENTER_TEL">'DATA'!$G$14</definedName>
    <definedName name="cst__button_kind">'DATA'!$I$80</definedName>
    <definedName name="cst__button_kind__select">'DATA'!$I$78</definedName>
    <definedName name="cst__button_no">'DATA'!$I$82</definedName>
    <definedName name="cst_allthemembers_owner_name_all">'DATA'!$I$369</definedName>
    <definedName name="cst_Area_Select">'dDATA_cst'!$I$126</definedName>
    <definedName name="cst_buildobject__shinsei_build_kouji">'DATA'!$I$543</definedName>
    <definedName name="cst_charge_BASE_DATE">'DATA_fee_detail'!$I$104</definedName>
    <definedName name="cst_charge_BASIC_CHARGE">'DATA_fee_detail'!$I$125</definedName>
    <definedName name="cst_charge_cust__caption">'DATA_fee_detail'!$I$110</definedName>
    <definedName name="cst_charge_DETAIL_BIKO">'DATA_fee_detail'!$I$121</definedName>
    <definedName name="cst_charge_income_INCOME_DATE">'DATA_fee_detail'!$I$201</definedName>
    <definedName name="cst_charge_income_INCOME_MONEY">'DATA_fee_detail'!$I$202</definedName>
    <definedName name="cst_charge_income01_INCOME_DATE">'DATA_fee_detail'!$I$194</definedName>
    <definedName name="cst_charge_income01_INCOME_MONEY">'DATA_fee_detail'!$I$197</definedName>
    <definedName name="cst_charge_income02_INCOME_DATE">'DATA_fee_detail'!$I$195</definedName>
    <definedName name="cst_charge_income02_INCOME_MONEY">'DATA_fee_detail'!$I$198</definedName>
    <definedName name="cst_charge_income03_INCOME_DATE">'DATA_fee_detail'!$I$196</definedName>
    <definedName name="cst_charge_income03_INCOME_MONEY">'DATA_fee_detail'!$I$199</definedName>
    <definedName name="cst_CHARGE_MEISAI_GOUKEI">'DATA_fee_detail'!$I$29</definedName>
    <definedName name="cst_charge_meisai01_SYOUKEI">'DATA_fee_detail'!$I$141</definedName>
    <definedName name="cst_charge_meisai02_SYOUKEI">'DATA_fee_detail'!$I$146</definedName>
    <definedName name="cst_charge_meisai03_SYOUKEI">'DATA_fee_detail'!$I$151</definedName>
    <definedName name="cst_charge_meisai04_SYOUKEI">'DATA_fee_detail'!$I$156</definedName>
    <definedName name="cst_charge_meisai05_SYOUKEI">'DATA_fee_detail'!$I$161</definedName>
    <definedName name="cst_charge_meisai06_SYOUKEI">'DATA_fee_detail'!$I$166</definedName>
    <definedName name="cst_charge_meisai07_SYOUKEI">'DATA_fee_detail'!$I$171</definedName>
    <definedName name="cst_charge_meisai08_SYOUKEI">'DATA_fee_detail'!$I$176</definedName>
    <definedName name="cst_charge_meisai09_SYOUKEI">'DATA_fee_detail'!$I$181</definedName>
    <definedName name="cst_charge_meisai10_SYOUKEI">'DATA_fee_detail'!$I$186</definedName>
    <definedName name="cst_charge_meisai11_SYOUKEI">'DATA_fee_detail'!$I$191</definedName>
    <definedName name="cst_charge_NOTE">'DATA_fee_detail'!$I$120</definedName>
    <definedName name="cst_charge_RECEIPT__title">'DATA_fee_detail'!$I$122</definedName>
    <definedName name="cst_charge_RECEIPT_DATE">'DATA_fee_detail'!$I$117</definedName>
    <definedName name="cst_charge_RECEIPT_PRICE">'DATA_fee_detail'!$I$114</definedName>
    <definedName name="cst_charge_RECEIPT_TO">'DATA_fee_detail'!$I$115</definedName>
    <definedName name="cst_charge_RECEIPT_TO__disp">'DATA_fee_detail'!$I$116</definedName>
    <definedName name="cst_charge_STR_CHARGE">'DATA_fee_detail'!$I$127</definedName>
    <definedName name="cst_charge_STR_CHARGE__CHARGE_WARIMASHI">'DATA_fee_detail'!$I$128</definedName>
    <definedName name="cst_charge_STR_CHARGE_WARIMASHI">'DATA_fee_detail'!$I$132</definedName>
    <definedName name="cst_charge_STR_SIHARAI_DATE">'DATA_fee_detail'!$I$126</definedName>
    <definedName name="cst_charge_strtower01_CHARGE">'DATA_fee_detail'!$I$205</definedName>
    <definedName name="cst_charge_strtower01_CHARGE__ctrl">'DATA_fee_detail'!$I$208</definedName>
    <definedName name="cst_charge_strtower01_CHARGE_TOTAL">'DATA_fee_detail'!$I$207</definedName>
    <definedName name="cst_charge_strtower01_CHARGE_WARIMASHI">'DATA_fee_detail'!$I$206</definedName>
    <definedName name="cst_charge_strtower02_CHARGE">'DATA_fee_detail'!$I$211</definedName>
    <definedName name="cst_charge_strtower02_CHARGE__ctrl">'DATA_fee_detail'!$I$214</definedName>
    <definedName name="cst_charge_strtower02_CHARGE_TOTAL">'DATA_fee_detail'!$I$213</definedName>
    <definedName name="cst_charge_strtower02_CHARGE_WARIMASHI">'DATA_fee_detail'!$I$212</definedName>
    <definedName name="cst_charge_strtower03_CHARGE">'DATA_fee_detail'!$I$217</definedName>
    <definedName name="cst_charge_strtower03_CHARGE__ctrl">'DATA_fee_detail'!$I$220</definedName>
    <definedName name="cst_charge_strtower03_CHARGE_TOTAL">'DATA_fee_detail'!$I$219</definedName>
    <definedName name="cst_charge_strtower03_CHARGE_WARIMASHI">'DATA_fee_detail'!$I$218</definedName>
    <definedName name="cst_charge_strtower04_CHARGE">'DATA_fee_detail'!$I$223</definedName>
    <definedName name="cst_charge_strtower04_CHARGE__ctrl">'DATA_fee_detail'!$I$226</definedName>
    <definedName name="cst_charge_strtower04_CHARGE_TOTAL">'DATA_fee_detail'!$I$225</definedName>
    <definedName name="cst_charge_strtower04_CHARGE_WARIMASHI">'DATA_fee_detail'!$I$224</definedName>
    <definedName name="cst_charge_strtower05_CHARGE">'DATA_fee_detail'!$I$229</definedName>
    <definedName name="cst_charge_strtower05_CHARGE__ctrl">'DATA_fee_detail'!$I$232</definedName>
    <definedName name="cst_charge_strtower05_CHARGE_TOTAL">'DATA_fee_detail'!$I$231</definedName>
    <definedName name="cst_charge_strtower05_CHARGE_WARIMASHI">'DATA_fee_detail'!$I$230</definedName>
    <definedName name="cst_charge_strtower06_CHARGE">'DATA_fee_detail'!$I$235</definedName>
    <definedName name="cst_charge_strtower06_CHARGE__ctrl">'DATA_fee_detail'!$I$238</definedName>
    <definedName name="cst_charge_strtower06_CHARGE_TOTAL">'DATA_fee_detail'!$I$237</definedName>
    <definedName name="cst_charge_strtower06_CHARGE_WARIMASHI">'DATA_fee_detail'!$I$236</definedName>
    <definedName name="cst_charge_strtower07_CHARGE">'DATA_fee_detail'!$I$241</definedName>
    <definedName name="cst_charge_strtower07_CHARGE__ctrl">'DATA_fee_detail'!$I$244</definedName>
    <definedName name="cst_charge_strtower07_CHARGE_TOTAL">'DATA_fee_detail'!$I$243</definedName>
    <definedName name="cst_charge_strtower07_CHARGE_WARIMASHI">'DATA_fee_detail'!$I$242</definedName>
    <definedName name="cst_charge_strtower08_CHARGE">'DATA_fee_detail'!$I$247</definedName>
    <definedName name="cst_charge_strtower08_CHARGE__ctrl">'DATA_fee_detail'!$I$250</definedName>
    <definedName name="cst_charge_strtower08_CHARGE_TOTAL">'DATA_fee_detail'!$I$249</definedName>
    <definedName name="cst_charge_strtower08_CHARGE_WARIMASHI">'DATA_fee_detail'!$I$248</definedName>
    <definedName name="cst_charge_strtower09_CHARGE">'DATA_fee_detail'!$I$253</definedName>
    <definedName name="cst_charge_strtower09_CHARGE__ctrl">'DATA_fee_detail'!$I$256</definedName>
    <definedName name="cst_charge_strtower09_CHARGE_TOTAL">'DATA_fee_detail'!$I$255</definedName>
    <definedName name="cst_charge_strtower09_CHARGE_WARIMASHI">'DATA_fee_detail'!$I$254</definedName>
    <definedName name="cst_charge_strtower10_CHARGE">'DATA_fee_detail'!$I$259</definedName>
    <definedName name="cst_charge_strtower10_CHARGE__ctrl">'DATA_fee_detail'!$I$262</definedName>
    <definedName name="cst_charge_strtower10_CHARGE_TOTAL">'DATA_fee_detail'!$I$261</definedName>
    <definedName name="cst_charge_strtower10_CHARGE_WARIMASHI">'DATA_fee_detail'!$I$260</definedName>
    <definedName name="cst_charge_strtower11_CHARGE">'DATA_fee_detail'!$I$265</definedName>
    <definedName name="cst_charge_strtower11_CHARGE__ctrl">'DATA_fee_detail'!$I$268</definedName>
    <definedName name="cst_charge_strtower11_CHARGE_TOTAL">'DATA_fee_detail'!$I$267</definedName>
    <definedName name="cst_charge_strtower11_CHARGE_WARIMASHI">'DATA_fee_detail'!$I$266</definedName>
    <definedName name="cst_charge_strtower12_CHARGE">'DATA_fee_detail'!$I$271</definedName>
    <definedName name="cst_charge_strtower12_CHARGE__ctrl">'DATA_fee_detail'!$I$274</definedName>
    <definedName name="cst_charge_strtower12_CHARGE_TOTAL">'DATA_fee_detail'!$I$273</definedName>
    <definedName name="cst_charge_strtower12_CHARGE_WARIMASHI">'DATA_fee_detail'!$I$272</definedName>
    <definedName name="cst_charge_strtower13_CHARGE">'DATA_fee_detail'!$I$277</definedName>
    <definedName name="cst_charge_strtower13_CHARGE__ctrl">'DATA_fee_detail'!$I$280</definedName>
    <definedName name="cst_charge_strtower13_CHARGE_TOTAL">'DATA_fee_detail'!$I$279</definedName>
    <definedName name="cst_charge_strtower13_CHARGE_WARIMASHI">'DATA_fee_detail'!$I$278</definedName>
    <definedName name="cst_charge_strtower14_CHARGE">'DATA_fee_detail'!$I$283</definedName>
    <definedName name="cst_charge_strtower14_CHARGE__ctrl">'DATA_fee_detail'!$I$286</definedName>
    <definedName name="cst_charge_strtower14_CHARGE_TOTAL">'DATA_fee_detail'!$I$285</definedName>
    <definedName name="cst_charge_strtower14_CHARGE_WARIMASHI">'DATA_fee_detail'!$I$284</definedName>
    <definedName name="cst_charge_strtower15_CHARGE">'DATA_fee_detail'!$I$289</definedName>
    <definedName name="cst_charge_strtower15_CHARGE__ctrl">'DATA_fee_detail'!$I$292</definedName>
    <definedName name="cst_charge_strtower15_CHARGE_TOTAL">'DATA_fee_detail'!$I$291</definedName>
    <definedName name="cst_charge_strtower15_CHARGE_WARIMASHI">'DATA_fee_detail'!$I$290</definedName>
    <definedName name="cst_charge_strtower16_CHARGE">'DATA_fee_detail'!$I$295</definedName>
    <definedName name="cst_charge_strtower16_CHARGE__ctrl">'DATA_fee_detail'!$I$298</definedName>
    <definedName name="cst_charge_strtower16_CHARGE_TOTAL">'DATA_fee_detail'!$I$297</definedName>
    <definedName name="cst_charge_strtower16_CHARGE_WARIMASHI">'DATA_fee_detail'!$I$296</definedName>
    <definedName name="cst_charge_strtower17_CHARGE">'DATA_fee_detail'!$I$301</definedName>
    <definedName name="cst_charge_strtower17_CHARGE__ctrl">'DATA_fee_detail'!$I$304</definedName>
    <definedName name="cst_charge_strtower17_CHARGE_TOTAL">'DATA_fee_detail'!$I$303</definedName>
    <definedName name="cst_charge_strtower17_CHARGE_WARIMASHI">'DATA_fee_detail'!$I$302</definedName>
    <definedName name="cst_charge_strtower18_CHARGE">'DATA_fee_detail'!$I$307</definedName>
    <definedName name="cst_charge_strtower18_CHARGE__ctrl">'DATA_fee_detail'!$I$310</definedName>
    <definedName name="cst_charge_strtower18_CHARGE_TOTAL">'DATA_fee_detail'!$I$309</definedName>
    <definedName name="cst_charge_strtower18_CHARGE_WARIMASHI">'DATA_fee_detail'!$I$308</definedName>
    <definedName name="cst_charge_strtower19_CHARGE">'DATA_fee_detail'!$I$313</definedName>
    <definedName name="cst_charge_strtower19_CHARGE__ctrl">'DATA_fee_detail'!$I$316</definedName>
    <definedName name="cst_charge_strtower19_CHARGE_TOTAL">'DATA_fee_detail'!$I$315</definedName>
    <definedName name="cst_charge_strtower19_CHARGE_WARIMASHI">'DATA_fee_detail'!$I$314</definedName>
    <definedName name="cst_charge_strtower20_CHARGE">'DATA_fee_detail'!$I$319</definedName>
    <definedName name="cst_charge_strtower20_CHARGE__ctrl">'DATA_fee_detail'!$I$322</definedName>
    <definedName name="cst_charge_strtower20_CHARGE_TOTAL">'DATA_fee_detail'!$I$321</definedName>
    <definedName name="cst_charge_strtower20_CHARGE_WARIMASHI">'DATA_fee_detail'!$I$320</definedName>
    <definedName name="cst_charge_strtower21_CHARGE">'DATA_fee_detail'!$I$325</definedName>
    <definedName name="cst_charge_strtower21_CHARGE__ctrl">'DATA_fee_detail'!$I$328</definedName>
    <definedName name="cst_charge_strtower21_CHARGE_TOTAL">'DATA_fee_detail'!$I$327</definedName>
    <definedName name="cst_charge_strtower21_CHARGE_WARIMASHI">'DATA_fee_detail'!$I$326</definedName>
    <definedName name="cst_charge_strtower22_CHARGE">'DATA_fee_detail'!$I$331</definedName>
    <definedName name="cst_charge_strtower22_CHARGE__ctrl">'DATA_fee_detail'!$I$334</definedName>
    <definedName name="cst_charge_strtower22_CHARGE_TOTAL">'DATA_fee_detail'!$I$333</definedName>
    <definedName name="cst_charge_strtower22_CHARGE_WARIMASHI">'DATA_fee_detail'!$I$332</definedName>
    <definedName name="cst_charge_strtower23_CHARGE">'DATA_fee_detail'!$I$337</definedName>
    <definedName name="cst_charge_strtower23_CHARGE__ctrl">'DATA_fee_detail'!$I$340</definedName>
    <definedName name="cst_charge_strtower23_CHARGE_TOTAL">'DATA_fee_detail'!$I$339</definedName>
    <definedName name="cst_charge_strtower23_CHARGE_WARIMASHI">'DATA_fee_detail'!$I$338</definedName>
    <definedName name="cst_charge_strtower24_CHARGE">'DATA_fee_detail'!$I$343</definedName>
    <definedName name="cst_charge_strtower24_CHARGE__ctrl">'DATA_fee_detail'!$I$346</definedName>
    <definedName name="cst_charge_strtower24_CHARGE_TOTAL">'DATA_fee_detail'!$I$345</definedName>
    <definedName name="cst_charge_strtower24_CHARGE_WARIMASHI">'DATA_fee_detail'!$I$344</definedName>
    <definedName name="cst_charge_strtower25_CHARGE">'DATA_fee_detail'!$I$349</definedName>
    <definedName name="cst_charge_strtower25_CHARGE__ctrl">'DATA_fee_detail'!$I$352</definedName>
    <definedName name="cst_charge_strtower25_CHARGE_TOTAL">'DATA_fee_detail'!$I$351</definedName>
    <definedName name="cst_charge_strtower25_CHARGE_WARIMASHI">'DATA_fee_detail'!$I$350</definedName>
    <definedName name="cst_charge_strtower26_CHARGE">'DATA_fee_detail'!$I$355</definedName>
    <definedName name="cst_charge_strtower26_CHARGE__ctrl">'DATA_fee_detail'!$I$358</definedName>
    <definedName name="cst_charge_strtower26_CHARGE_TOTAL">'DATA_fee_detail'!$I$357</definedName>
    <definedName name="cst_charge_strtower26_CHARGE_WARIMASHI">'DATA_fee_detail'!$I$356</definedName>
    <definedName name="cst_charge_strtower27_CHARGE">'DATA_fee_detail'!$I$361</definedName>
    <definedName name="cst_charge_strtower27_CHARGE__ctrl">'DATA_fee_detail'!$I$364</definedName>
    <definedName name="cst_charge_strtower27_CHARGE_TOTAL">'DATA_fee_detail'!$I$363</definedName>
    <definedName name="cst_charge_strtower27_CHARGE_WARIMASHI">'DATA_fee_detail'!$I$362</definedName>
    <definedName name="cst_charge_strtower28_CHARGE">'DATA_fee_detail'!$I$367</definedName>
    <definedName name="cst_charge_strtower28_CHARGE__ctrl">'DATA_fee_detail'!$I$370</definedName>
    <definedName name="cst_charge_strtower28_CHARGE_TOTAL">'DATA_fee_detail'!$I$369</definedName>
    <definedName name="cst_charge_strtower28_CHARGE_WARIMASHI">'DATA_fee_detail'!$I$368</definedName>
    <definedName name="cst_charge_strtower29_CHARGE">'DATA_fee_detail'!$I$373</definedName>
    <definedName name="cst_charge_strtower29_CHARGE__ctrl">'DATA_fee_detail'!$I$376</definedName>
    <definedName name="cst_charge_strtower29_CHARGE_TOTAL">'DATA_fee_detail'!$I$375</definedName>
    <definedName name="cst_charge_strtower29_CHARGE_WARIMASHI">'DATA_fee_detail'!$I$374</definedName>
    <definedName name="cst_charge_strtower30_CHARGE">'DATA_fee_detail'!$I$379</definedName>
    <definedName name="cst_charge_strtower30_CHARGE__ctrl">'DATA_fee_detail'!$I$382</definedName>
    <definedName name="cst_charge_strtower30_CHARGE_TOTAL">'DATA_fee_detail'!$I$381</definedName>
    <definedName name="cst_charge_strtower30_CHARGE_WARIMASHI">'DATA_fee_detail'!$I$380</definedName>
    <definedName name="cst_charge_TIIKIWARIMASHI_CHARGE">'DATA_fee_detail'!$I$136</definedName>
    <definedName name="cst_charge_ZOUGEN_CHARGE__total">'DATA_fee_detail'!$I$129</definedName>
    <definedName name="cst_charge_ZOUGEN_nomi_CHARGE__total">'DATA_fee_detail'!$I$130</definedName>
    <definedName name="cst_city_city">'DATA'!$I$91</definedName>
    <definedName name="cst_city_CITY_KIND">'DATA'!$I$104</definedName>
    <definedName name="cst_city_CITY_PUBLIC_OFFICE_ID__DEPART_NAME">'DATA'!$I$113</definedName>
    <definedName name="cst_city_CITY_PUBLIC_OFFICE_ID__FAX">'DATA'!$I$114</definedName>
    <definedName name="cst_city_CITY_PUBLIC_OFFICE_ID__GYOUSEI_NAME">'DATA'!$I$116</definedName>
    <definedName name="cst_city_CITY_PUBLIC_OFFICE_ID__NAME">'DATA'!$I$112</definedName>
    <definedName name="cst_city_CITY_PUBLIC_OFFICE_ID__SYUJI_NAME">'DATA'!$I$115</definedName>
    <definedName name="cst_city_FIRE_STATION_ID__DEPART_NAME">'DATA'!$I$96</definedName>
    <definedName name="cst_city_FIRE_STATION_ID__DEST_NAME">'DATA'!$I$97</definedName>
    <definedName name="cst_city_FIRE_STATION_ID__DEST_NAME_Decision">'dFIRESTATION_info'!$C$67</definedName>
    <definedName name="cst_city_FIRE_STATION_ID__DEST_NAME_Decision__add_code">'dFIRESTATION_info'!$C$68</definedName>
    <definedName name="cst_city_FIRE_STATION_ID__NAME">'DATA'!$I$95</definedName>
    <definedName name="cst_city_FIRE_STATION_ID__NAME_Decision">'dFIRESTATION_info'!$C$66</definedName>
    <definedName name="cst_city_ken">'DATA'!$I$90</definedName>
    <definedName name="cst_city_KEN_PUBLIC_OFFICE_ID__DEPART_NAME">'DATA'!$I$131</definedName>
    <definedName name="cst_city_KEN_PUBLIC_OFFICE_ID__FAX">'DATA'!$I$132</definedName>
    <definedName name="cst_city_KEN_PUBLIC_OFFICE_ID__GYOUSEI_NAME">'DATA'!$I$134</definedName>
    <definedName name="cst_city_KEN_PUBLIC_OFFICE_ID__NAME">'DATA'!$I$130</definedName>
    <definedName name="cst_city_KEN_PUBLIC_OFFICE_ID__SYUJI_NAME">'DATA'!$I$133</definedName>
    <definedName name="cst_city_KEN1_PUBLIC_OFFICE_ID__DEPART_NAME">'DATA'!$I$119</definedName>
    <definedName name="cst_city_KEN1_PUBLIC_OFFICE_ID__FAX">'DATA'!$I$120</definedName>
    <definedName name="cst_city_KEN1_PUBLIC_OFFICE_ID__GYOUSEI_NAME">'DATA'!$I$122</definedName>
    <definedName name="cst_city_KEN1_PUBLIC_OFFICE_ID__NAME">'DATA'!$I$118</definedName>
    <definedName name="cst_city_KEN1_PUBLIC_OFFICE_ID__SYUJI_NAME">'DATA'!$I$121</definedName>
    <definedName name="cst_city_KEN2_PUBLIC_OFFICE_ID__DEPART_NAME">'DATA'!$I$125</definedName>
    <definedName name="cst_city_KEN2_PUBLIC_OFFICE_ID__FAX">'DATA'!$I$126</definedName>
    <definedName name="cst_city_KEN2_PUBLIC_OFFICE_ID__GYOUSEI_NAME">'DATA'!$I$128</definedName>
    <definedName name="cst_city_KEN2_PUBLIC_OFFICE_ID__NAME">'DATA'!$I$124</definedName>
    <definedName name="cst_city_KEN2_PUBLIC_OFFICE_ID__SYUJI_NAME">'DATA'!$I$127</definedName>
    <definedName name="cst_city_street">'DATA'!$I$93</definedName>
    <definedName name="cst_city_town">'DATA'!$I$92</definedName>
    <definedName name="cst_CityInfo">'dFIRESTATION_info'!$C$24</definedName>
    <definedName name="cst_Command_Practice">'DATA'!$J$71</definedName>
    <definedName name="cst_config_PRESENTER_ADDRESS">'DATA'!$I$12</definedName>
    <definedName name="cst_CORP_INFO__base_point">'dOFFICE_name'!$A$57</definedName>
    <definedName name="cst_CORP_INFO__change_day_erea">'dOFFICE_name'!$D$58:$D$69</definedName>
    <definedName name="cst_CORP_INFO__list_box_ctrl__charge_BASE_DATE">'dOFFICE_name'!$B$19</definedName>
    <definedName name="cst_CORP_INFO__list_box_ctrl__charge_income_INCOME_DATE">'dOFFICE_name'!$B$18</definedName>
    <definedName name="cst_CORP_INFO__list_box_ctrl__charge_receipt_date">'dOFFICE_name'!$B$17</definedName>
    <definedName name="cst_CORP_INFO__list_box_ctrl__FireDoui">'dOFFICE_name'!$B$15</definedName>
    <definedName name="cst_CORP_INFO__list_box_ctrl__FireTuuchi">'dOFFICE_name'!$B$14</definedName>
    <definedName name="cst_CORP_INFO__list_box_ctrl__Hikiuke">'dOFFICE_name'!$B$9</definedName>
    <definedName name="cst_CORP_INFO__list_box_ctrl__HikiukeTuuchi">'dOFFICE_name'!$B$10</definedName>
    <definedName name="cst_CORP_INFO__list_box_ctrl__Houkoku">'dOFFICE_name'!$B$12</definedName>
    <definedName name="cst_CORP_INFO__list_box_ctrl__Issue">'dOFFICE_name'!$B$11</definedName>
    <definedName name="cst_CORP_INFO__list_box_ctrl__Jizen">'dOFFICE_name'!$B$8</definedName>
    <definedName name="cst_CORP_INFO__list_box_ctrl__JoukasouTuuchi">'dOFFICE_name'!$B$16</definedName>
    <definedName name="cst_CORP_INFO__list_box_ctrl__KoufuFuka">'dOFFICE_name'!$B$13</definedName>
    <definedName name="cst_CORP_INFO__list_box_erea">'dOFFICE_name'!$J$58:$J$69</definedName>
    <definedName name="cst_DISP__date">'DATA'!$I$567</definedName>
    <definedName name="cst_DISP__date_ee">'DATA'!$I$568</definedName>
    <definedName name="cst_DISP__sign">'DATA'!$I$605</definedName>
    <definedName name="cst_ev_INSPECTION_TYPE">'dDATA_cst'!$I$167</definedName>
    <definedName name="cst_fee_UCHIWAKE__lbl">'dDATA_cst'!$I$96</definedName>
    <definedName name="cst_fee_UCHIWAKE2__fee">'dDATA_cst'!$I$100</definedName>
    <definedName name="cst_fee_UCHIWAKE2__lbl">'dDATA_cst'!$I$98</definedName>
    <definedName name="cst_FIRE__base_point">'dFIRESTATION_info'!$A$73</definedName>
    <definedName name="cst_FIRE__city_erea">'dFIRESTATION_info'!$B$74:$B$100</definedName>
    <definedName name="cst_FIRE_CityInfo_Num">'dFIRESTATION_info'!$C$56</definedName>
    <definedName name="cst_FIRE_CombList_Point">'dFIRESTATION_info'!$A$40</definedName>
    <definedName name="cst_FIRE_CombList_value">'dFIRESTATION_info'!$C$64</definedName>
    <definedName name="cst_FIRE_ConditionJudge">'dFIRESTATION_info'!$C$60</definedName>
    <definedName name="cst_FIRE_IrregularJudge">'dFIRESTATION_info'!$C$58</definedName>
    <definedName name="cst_FIRE_JoukenMovement">'dFIRESTATION_info'!$C$62</definedName>
    <definedName name="cst_FIRE_ListKanMovement">'dFIRESTATION_info'!$C$63</definedName>
    <definedName name="cst_FIRE_SystemCheck">'dFIRESTATION_info'!$C$54</definedName>
    <definedName name="cst_HEALTH_CENTER_NAME_disp">'DATA'!$I$101</definedName>
    <definedName name="cst_HIKIUKE_TUUCHISAKI__disp">'DATA'!$I$714</definedName>
    <definedName name="cst_HOUKOKUSAKI__disp">'DATA'!$I$717</definedName>
    <definedName name="cst_Imposs_Notify_Sentence">'dIMPOSSIBLE'!$A$4</definedName>
    <definedName name="cst_INSPECTION_NO_Select1">'dDATA_cst'!$I$147</definedName>
    <definedName name="cst_INSPECTION_NO_Select2">'dDATA_cst'!$I$148</definedName>
    <definedName name="cst_INSPECTION_NO_Uketuke_Select1">'dDATA_cst'!$I$150</definedName>
    <definedName name="cst_INSPECTION_NO_Uketuke_Select1_2">'dDATA_cst'!$I$151</definedName>
    <definedName name="cst_INSPECTION_NO_Uketuke_Select2">'dDATA_cst'!$I$152</definedName>
    <definedName name="cst_INSPECTION_NO_Uketuke_Select2_2">'dDATA_cst'!$I$153</definedName>
    <definedName name="cst_INSPECTION_TYPE_final">'dDATA_cst'!$I$155</definedName>
    <definedName name="cst_INSPECTION_TYPE_final_Uketuke">'dDATA_cst'!$I$156</definedName>
    <definedName name="cst_INSPECTION_TYPE_final_Uketuke_1">'dDATA_cst'!$I$157</definedName>
    <definedName name="cst_Judge">'dFIRESTATION_info'!$C$58</definedName>
    <definedName name="cst_JUDGE_OFFICE__add_num">'dSTR_OFFICE_info'!$A$86</definedName>
    <definedName name="cst_JUDGE_OFFICE__base_point">'dSTR_OFFICE_info'!$J$86</definedName>
    <definedName name="cst_JUDGE_OFFICE__erea__SEARCH_VALUE">'dSTR_OFFICE_info'!$K$87:$K$241</definedName>
    <definedName name="cst_JUDGE_OFFICE__erea__SIGN">'dSTR_OFFICE_info'!$B$87:$B$241</definedName>
    <definedName name="cst_JUDGE_OFFICE__name_area">'dSTR_OFFICE_info'!$C$87:$C$241</definedName>
    <definedName name="cst_JUDGE_OFFICE__next_erea">'dSTR_OFFICE_info'!$J$87:$J$241</definedName>
    <definedName name="cst_JUDGE_OFFICE_A">'dSTR_OFFICE_info'!$C$87</definedName>
    <definedName name="cst_JUDGE_OFFICE_AA">'dSTR_OFFICE_info'!$C$217</definedName>
    <definedName name="cst_JUDGE_OFFICE_AB">'dSTR_OFFICE_info'!$C$222</definedName>
    <definedName name="cst_JUDGE_OFFICE_AC">'dSTR_OFFICE_info'!$C$227</definedName>
    <definedName name="cst_JUDGE_OFFICE_AD">'dSTR_OFFICE_info'!$C$232</definedName>
    <definedName name="cst_JUDGE_OFFICE_AE">'dSTR_OFFICE_info'!$C$237</definedName>
    <definedName name="cst_JUDGE_OFFICE_B">'dSTR_OFFICE_info'!$C$92</definedName>
    <definedName name="cst_JUDGE_OFFICE_C">'dSTR_OFFICE_info'!$C$97</definedName>
    <definedName name="cst_JUDGE_OFFICE_CORP">'dSTR_OFFICE_info'!$G$14</definedName>
    <definedName name="cst_JUDGE_OFFICE_CORP_DAIHYOUSHA__enchou">'dSTR_OFFICE_info'!$G$34</definedName>
    <definedName name="cst_JUDGE_OFFICE_CORP_DAIHYOUSHA__enchou_add_code">'dSTR_OFFICE_info'!$G$35</definedName>
    <definedName name="cst_JUDGE_OFFICE_CORP_DAIHYOUSHA__HOUKOKU">'dSTR_OFFICE_info'!$G$69</definedName>
    <definedName name="cst_JUDGE_OFFICE_CORP_DAIHYOUSHA__HOUKOKU__disp">'dSTR_OFFICE_info'!$G$66</definedName>
    <definedName name="cst_JUDGE_OFFICE_CORP_DAIHYOUSHA__HOUKOKU__disp_code">'dSTR_OFFICE_info'!$G$67</definedName>
    <definedName name="cst_JUDGE_OFFICE_CORP_DAIHYOUSHA__HOUKOKU_code">'dSTR_OFFICE_info'!$G$70</definedName>
    <definedName name="cst_JUDGE_OFFICE_CORP_DAIHYOUSHA__irai">'dSTR_OFFICE_info'!$G$26</definedName>
    <definedName name="cst_JUDGE_OFFICE_CORP_DAIHYOUSHA__irai_add_code">'dSTR_OFFICE_info'!$G$27</definedName>
    <definedName name="cst_JUDGE_OFFICE_CORP_DAIHYOUSHA__jizentuuti">'dSTR_OFFICE_info'!$G$18</definedName>
    <definedName name="cst_JUDGE_OFFICE_CORP_DAIHYOUSHA__jizentuuti_add_code">'dSTR_OFFICE_info'!$G$19</definedName>
    <definedName name="cst_JUDGE_OFFICE_CORP_DAIHYOUSHA__torisage">'dSTR_OFFICE_info'!$G$42</definedName>
    <definedName name="cst_JUDGE_OFFICE_CORP_DAIHYOUSHA__torisage_add_code">'dSTR_OFFICE_info'!$G$43</definedName>
    <definedName name="cst_JUDGE_OFFICE_CORP_DAIHYOUSHA__tuikatosho">'dSTR_OFFICE_info'!$G$50</definedName>
    <definedName name="cst_JUDGE_OFFICE_CORP_DAIHYOUSHA__tuikatosho_add_code">'dSTR_OFFICE_info'!$G$51</definedName>
    <definedName name="cst_JUDGE_OFFICE_CORP_DAIHYOUSHA__tuikatosho_henkou">'dSTR_OFFICE_info'!$G$58</definedName>
    <definedName name="cst_JUDGE_OFFICE_CORP_DAIHYOUSHA__tuikatosho_henkou_add_code">'dSTR_OFFICE_info'!$G$59</definedName>
    <definedName name="cst_JUDGE_OFFICE_CORP_KOUZOUSEKININSHA__enchou">'dSTR_OFFICE_info'!$G$37</definedName>
    <definedName name="cst_JUDGE_OFFICE_CORP_KOUZOUSEKININSHA__enchou_add_code">'dSTR_OFFICE_info'!$G$38</definedName>
    <definedName name="cst_JUDGE_OFFICE_CORP_KOUZOUSEKININSHA__irai">'dSTR_OFFICE_info'!$G$29</definedName>
    <definedName name="cst_JUDGE_OFFICE_CORP_KOUZOUSEKININSHA__irai_add_code">'dSTR_OFFICE_info'!$G$30</definedName>
    <definedName name="cst_JUDGE_OFFICE_CORP_KOUZOUSEKININSHA__jizentuuti">'dSTR_OFFICE_info'!$G$21</definedName>
    <definedName name="cst_JUDGE_OFFICE_CORP_KOUZOUSEKININSHA__jizentuuti_add_code">'dSTR_OFFICE_info'!$G$22</definedName>
    <definedName name="cst_JUDGE_OFFICE_CORP_KOUZOUSEKININSHA__torisage">'dSTR_OFFICE_info'!$G$45</definedName>
    <definedName name="cst_JUDGE_OFFICE_CORP_KOUZOUSEKININSHA__torisage_add_code">'dSTR_OFFICE_info'!$G$46</definedName>
    <definedName name="cst_JUDGE_OFFICE_CORP_KOUZOUSEKININSHA__tuikatosho">'dSTR_OFFICE_info'!$G$53</definedName>
    <definedName name="cst_JUDGE_OFFICE_CORP_KOUZOUSEKININSHA__tuikatosho_add_code">'dSTR_OFFICE_info'!$G$54</definedName>
    <definedName name="cst_JUDGE_OFFICE_CORP_KOUZOUSEKININSHA__tuikatosho_henkou">'dSTR_OFFICE_info'!$G$61</definedName>
    <definedName name="cst_JUDGE_OFFICE_CORP_KOUZOUSEKININSHA__tuikatosho_henkou_add_code">'dSTR_OFFICE_info'!$G$62</definedName>
    <definedName name="cst_JUDGE_OFFICE_D">'dSTR_OFFICE_info'!$C$102</definedName>
    <definedName name="cst_JUDGE_OFFICE_DAIHYOUSHA__enchou">'dSTR_OFFICE_info'!$G$33</definedName>
    <definedName name="cst_JUDGE_OFFICE_DAIHYOUSHA__HOUKOKU">'dSTR_OFFICE_info'!$G$68</definedName>
    <definedName name="cst_JUDGE_OFFICE_DAIHYOUSHA__HOUKOKU__disp">'dSTR_OFFICE_info'!$G$65</definedName>
    <definedName name="cst_JUDGE_OFFICE_DAIHYOUSHA__irai">'dSTR_OFFICE_info'!$G$25</definedName>
    <definedName name="cst_JUDGE_OFFICE_DAIHYOUSHA__jizentuuti">'dSTR_OFFICE_info'!$G$17</definedName>
    <definedName name="cst_JUDGE_OFFICE_DAIHYOUSHA__torisage">'dSTR_OFFICE_info'!$G$41</definedName>
    <definedName name="cst_JUDGE_OFFICE_DAIHYOUSHA__tuikatosho">'dSTR_OFFICE_info'!$G$49</definedName>
    <definedName name="cst_JUDGE_OFFICE_DAIHYOUSHA__tuikatosho_henkou">'dSTR_OFFICE_info'!$G$57</definedName>
    <definedName name="cst_JUDGE_OFFICE_date_erea__A">'dSTR_OFFICE_info'!$E$87:$E$91</definedName>
    <definedName name="cst_JUDGE_OFFICE_date_erea__AA">'dSTR_OFFICE_info'!$E$217:$E$221</definedName>
    <definedName name="cst_JUDGE_OFFICE_date_erea__AB">'dSTR_OFFICE_info'!$E$222:$E$226</definedName>
    <definedName name="cst_JUDGE_OFFICE_date_erea__AC">'dSTR_OFFICE_info'!$E$227:$E$231</definedName>
    <definedName name="cst_JUDGE_OFFICE_date_erea__AD">'dSTR_OFFICE_info'!$E$232:$E$236</definedName>
    <definedName name="cst_JUDGE_OFFICE_date_erea__AE">'dSTR_OFFICE_info'!$E$237:$E$241</definedName>
    <definedName name="cst_JUDGE_OFFICE_date_erea__B">'dSTR_OFFICE_info'!$E$92:$E$96</definedName>
    <definedName name="cst_JUDGE_OFFICE_date_erea__C">'dSTR_OFFICE_info'!$E$97:$E$101</definedName>
    <definedName name="cst_JUDGE_OFFICE_date_erea__D">'dSTR_OFFICE_info'!$E$102:$E$106</definedName>
    <definedName name="cst_JUDGE_OFFICE_date_erea__E">'dSTR_OFFICE_info'!$E$107:$E$111</definedName>
    <definedName name="cst_JUDGE_OFFICE_date_erea__F">'dSTR_OFFICE_info'!$E$112:$E$116</definedName>
    <definedName name="cst_JUDGE_OFFICE_date_erea__G">'dSTR_OFFICE_info'!$E$117:$E$121</definedName>
    <definedName name="cst_JUDGE_OFFICE_date_erea__H">'dSTR_OFFICE_info'!$E$122:$E$126</definedName>
    <definedName name="cst_JUDGE_OFFICE_date_erea__I">'dSTR_OFFICE_info'!$E$127:$E$131</definedName>
    <definedName name="cst_JUDGE_OFFICE_date_erea__J">'dSTR_OFFICE_info'!$E$132:$E$136</definedName>
    <definedName name="cst_JUDGE_OFFICE_date_erea__K">'dSTR_OFFICE_info'!$E$137:$E$141</definedName>
    <definedName name="cst_JUDGE_OFFICE_date_erea__L">'dSTR_OFFICE_info'!$E$142:$E$146</definedName>
    <definedName name="cst_JUDGE_OFFICE_date_erea__M">'dSTR_OFFICE_info'!$E$147:$E$151</definedName>
    <definedName name="cst_JUDGE_OFFICE_date_erea__N">'dSTR_OFFICE_info'!$E$152:$E$156</definedName>
    <definedName name="cst_JUDGE_OFFICE_date_erea__O">'dSTR_OFFICE_info'!$E$157:$E$161</definedName>
    <definedName name="cst_JUDGE_OFFICE_date_erea__P">'dSTR_OFFICE_info'!$E$162:$E$166</definedName>
    <definedName name="cst_JUDGE_OFFICE_date_erea__Q">'dSTR_OFFICE_info'!$E$167:$E$171</definedName>
    <definedName name="cst_JUDGE_OFFICE_date_erea__R">'dSTR_OFFICE_info'!$E$172:$E$176</definedName>
    <definedName name="cst_JUDGE_OFFICE_date_erea__S">'dSTR_OFFICE_info'!$E$177:$E$181</definedName>
    <definedName name="cst_JUDGE_OFFICE_date_erea__T">'dSTR_OFFICE_info'!$E$182:$E$186</definedName>
    <definedName name="cst_JUDGE_OFFICE_date_erea__U">'dSTR_OFFICE_info'!$E$187:$E$191</definedName>
    <definedName name="cst_JUDGE_OFFICE_date_erea__V">'dSTR_OFFICE_info'!$E$192:$E$196</definedName>
    <definedName name="cst_JUDGE_OFFICE_date_erea__W">'dSTR_OFFICE_info'!$E$197:$E$201</definedName>
    <definedName name="cst_JUDGE_OFFICE_date_erea__X">'dSTR_OFFICE_info'!$E$202:$E$206</definedName>
    <definedName name="cst_JUDGE_OFFICE_date_erea__Y">'dSTR_OFFICE_info'!$E$207:$E$211</definedName>
    <definedName name="cst_JUDGE_OFFICE_date_erea__Z">'dSTR_OFFICE_info'!$E$212:$E$216</definedName>
    <definedName name="cst_JUDGE_OFFICE_E">'dSTR_OFFICE_info'!$C$107</definedName>
    <definedName name="cst_JUDGE_OFFICE_F">'dSTR_OFFICE_info'!$C$112</definedName>
    <definedName name="cst_JUDGE_OFFICE_G">'dSTR_OFFICE_info'!$C$117</definedName>
    <definedName name="cst_JUDGE_OFFICE_H">'dSTR_OFFICE_info'!$C$122</definedName>
    <definedName name="cst_JUDGE_OFFICE_I">'dSTR_OFFICE_info'!$C$127</definedName>
    <definedName name="cst_JUDGE_OFFICE_J">'dSTR_OFFICE_info'!$C$132</definedName>
    <definedName name="cst_JUDGE_OFFICE_K">'dSTR_OFFICE_info'!$C$137</definedName>
    <definedName name="cst_JUDGE_OFFICE_KOUZOUSEKININSHA__enchou">'dSTR_OFFICE_info'!$G$36</definedName>
    <definedName name="cst_JUDGE_OFFICE_KOUZOUSEKININSHA__irai">'dSTR_OFFICE_info'!$G$28</definedName>
    <definedName name="cst_JUDGE_OFFICE_KOUZOUSEKININSHA__jizentuuti">'dSTR_OFFICE_info'!$G$20</definedName>
    <definedName name="cst_JUDGE_OFFICE_KOUZOUSEKININSHA__torisage">'dSTR_OFFICE_info'!$G$44</definedName>
    <definedName name="cst_JUDGE_OFFICE_KOUZOUSEKININSHA__tuikatosho">'dSTR_OFFICE_info'!$G$52</definedName>
    <definedName name="cst_JUDGE_OFFICE_KOUZOUSEKININSHA__tuikatosho_henkou">'dSTR_OFFICE_info'!$G$60</definedName>
    <definedName name="cst_JUDGE_OFFICE_L">'dSTR_OFFICE_info'!$C$142</definedName>
    <definedName name="cst_JUDGE_OFFICE_M">'dSTR_OFFICE_info'!$C$147</definedName>
    <definedName name="cst_JUDGE_OFFICE_N">'dSTR_OFFICE_info'!$C$152</definedName>
    <definedName name="cst_JUDGE_OFFICE_O">'dSTR_OFFICE_info'!$C$157</definedName>
    <definedName name="cst_JUDGE_OFFICE_P">'dSTR_OFFICE_info'!$C$162</definedName>
    <definedName name="cst_JUDGE_OFFICE_Q">'dSTR_OFFICE_info'!$C$167</definedName>
    <definedName name="cst_JUDGE_OFFICE_R">'dSTR_OFFICE_info'!$C$172</definedName>
    <definedName name="cst_JUDGE_OFFICE_READ___base_point">'dSTR_OFFICE_info'!$G$13</definedName>
    <definedName name="cst_JUDGE_OFFICE_READ___date_erea">'dSTR_OFFICE_info'!$G$12</definedName>
    <definedName name="cst_JUDGE_OFFICE_S">'dSTR_OFFICE_info'!$C$177</definedName>
    <definedName name="cst_JUDGE_OFFICE_T">'dSTR_OFFICE_info'!$C$182</definedName>
    <definedName name="cst_JUDGE_OFFICE_U">'dSTR_OFFICE_info'!$C$187</definedName>
    <definedName name="cst_JUDGE_OFFICE_V">'dSTR_OFFICE_info'!$C$192</definedName>
    <definedName name="cst_JUDGE_OFFICE_W">'dSTR_OFFICE_info'!$C$197</definedName>
    <definedName name="cst_JUDGE_OFFICE_X">'dSTR_OFFICE_info'!$C$202</definedName>
    <definedName name="cst_JUDGE_OFFICE_Y">'dSTR_OFFICE_info'!$C$207</definedName>
    <definedName name="cst_JUDGE_OFFICE_Z">'dSTR_OFFICE_info'!$C$212</definedName>
    <definedName name="cst_kakaru_shinsei_ACCEPT_DATE">'DATA'!$I$661</definedName>
    <definedName name="cst_kakaru_shinsei_ACCEPT_DATE__dd">'DATA'!$I$592</definedName>
    <definedName name="cst_kakaru_shinsei_ACCEPT_DATE__ee">'DATA'!$I$590</definedName>
    <definedName name="cst_kakaru_shinsei_ACCEPT_DATE__mm">'DATA'!$I$591</definedName>
    <definedName name="cst_kakaru_shinsei_HIKIUKE_DATE">'DATA'!$I$662</definedName>
    <definedName name="cst_kakaru_shinsei_HIKIUKE_DATE__dd">'DATA'!$I$596</definedName>
    <definedName name="cst_kakaru_shinsei_HIKIUKE_DATE__ee">'DATA'!$I$594</definedName>
    <definedName name="cst_kakaru_shinsei_HIKIUKE_DATE__mm">'DATA'!$I$595</definedName>
    <definedName name="cst_kakaru_shinsei_ISSUE_DATE">'DATA'!$I$672</definedName>
    <definedName name="cst_kakaru_shinsei_UKETUKE_NO">'DATA'!$I$663</definedName>
    <definedName name="cst_KENSAIN_final">'dDATA_cst'!$I$162</definedName>
    <definedName name="cst_KENSAIN_kiso">'dDATA_cst'!$I$160</definedName>
    <definedName name="cst_KENSAIN_tatekata">'dDATA_cst'!$I$161</definedName>
    <definedName name="cst_Ng_Notify_Common_Sentence">'dIMPOSSIBLE'!$A$28</definedName>
    <definedName name="cst_Ng_Notify_Conf_Sentence">'dIMPOSSIBLE'!$A$7</definedName>
    <definedName name="cst_Ng_Notify_Final_Sentence">'dIMPOSSIBLE'!$A$13</definedName>
    <definedName name="cst_Ng_Notify_Inter_Sentence">'dIMPOSSIBLE'!$A$10</definedName>
    <definedName name="cst_NOTIFY_ctrl">'DATA'!$I$808</definedName>
    <definedName name="cst_office_ADDRESS">'DATA'!$I$28</definedName>
    <definedName name="cst_office_ADDRESS__1_2">'DATA'!$I$30</definedName>
    <definedName name="cst_office_FAX">'DATA'!$I$32</definedName>
    <definedName name="cst_office_OFFICE_NAME">'DATA'!$I$26</definedName>
    <definedName name="cst_office_TEL">'DATA'!$I$31</definedName>
    <definedName name="cst_owner_name1__add_sama">'DATA'!$I$205</definedName>
    <definedName name="cst_owner_name1__add_sp3code">'DATA'!$I$203</definedName>
    <definedName name="cst_owner_name1__add_sp3code_sama">'DATA'!$I$206</definedName>
    <definedName name="cst_Owner_Name1_Sama">'DATA'!$I$204</definedName>
    <definedName name="cst_owner_name2__add_sama">'DATA'!$I$210</definedName>
    <definedName name="cst_owner_name2__add_sp3code">'DATA'!$I$208</definedName>
    <definedName name="cst_owner_name2__add_sp3code_sama">'DATA'!$I$211</definedName>
    <definedName name="cst_Owner_Name2_Sama">'DATA'!$I$209</definedName>
    <definedName name="cst_owner_name3__add_sama">'DATA'!$I$215</definedName>
    <definedName name="cst_owner_name3__add_sp3code">'DATA'!$I$213</definedName>
    <definedName name="cst_owner_name3__add_sp3code_sama">'DATA'!$I$216</definedName>
    <definedName name="cst_Owner_Name3_Sama">'DATA'!$I$214</definedName>
    <definedName name="cst_owner_name4__add_sama">'DATA'!$I$220</definedName>
    <definedName name="cst_owner_name4__add_sp3code">'DATA'!$I$219</definedName>
    <definedName name="cst_owner_name4__add_sp3code_sama">'DATA'!$I$221</definedName>
    <definedName name="cst_Owner_Name4_Sama">'DATA'!$I$218</definedName>
    <definedName name="cst_owner_name5__add_sama">'DATA'!$I$225</definedName>
    <definedName name="cst_owner_name5__add_sp3code">'DATA'!$I$224</definedName>
    <definedName name="cst_owner_name5__add_sp3code_sama">'DATA'!$I$226</definedName>
    <definedName name="cst_Owner_Name5_Sama">'DATA'!$I$223</definedName>
    <definedName name="cst_owner_name6__add_sama">'DATA'!$I$230</definedName>
    <definedName name="cst_owner_name6__add_sp3code">'DATA'!$I$229</definedName>
    <definedName name="cst_owner_name6__add_sp3code_sama">'DATA'!$I$231</definedName>
    <definedName name="cst_Owner_Name6_Sama">'DATA'!$I$228</definedName>
    <definedName name="cst_owner1_name_all">'DATA'!$I$357</definedName>
    <definedName name="cst_owner1_POSTname">'DATA'!$I$333</definedName>
    <definedName name="cst_owner1_POSTname_add_sama">'DATA'!$I$345</definedName>
    <definedName name="cst_owner2_name_all">'DATA'!$I$358</definedName>
    <definedName name="cst_owner2_POSTname">'DATA'!$I$334</definedName>
    <definedName name="cst_owner2_POSTname_add_sama">'DATA'!$I$346</definedName>
    <definedName name="cst_owner3_name_all">'DATA'!$I$359</definedName>
    <definedName name="cst_owner3_POSTname">'DATA'!$I$335</definedName>
    <definedName name="cst_owner3_POSTname_add_sama">'DATA'!$I$347</definedName>
    <definedName name="cst_owner4_name_all">'DATA'!$I$360</definedName>
    <definedName name="cst_owner4_POSTname">'DATA'!$I$336</definedName>
    <definedName name="cst_owner4_POSTname_add_sama">'DATA'!$I$348</definedName>
    <definedName name="cst_owner5_name_all">'DATA'!$I$361</definedName>
    <definedName name="cst_owner5_POSTname">'DATA'!$I$337</definedName>
    <definedName name="cst_owner5_POSTname_add_sama">'DATA'!$I$349</definedName>
    <definedName name="cst_owner6_name_all">'DATA'!$I$362</definedName>
    <definedName name="cst_owner6_POSTname">'DATA'!$I$338</definedName>
    <definedName name="cst_owner6_POSTname_add_sama">'DATA'!$I$350</definedName>
    <definedName name="cst_owner7_name_all">'DATA'!$I$363</definedName>
    <definedName name="cst_owner7_POSTname">'DATA'!$I$339</definedName>
    <definedName name="cst_owner7_POSTname_add_sama">'DATA'!$I$351</definedName>
    <definedName name="cst_owner8_name_all">'DATA'!$I$364</definedName>
    <definedName name="cst_owner8_POSTname">'DATA'!$I$340</definedName>
    <definedName name="cst_owner8_POSTname_add_sama">'DATA'!$I$352</definedName>
    <definedName name="cst_owner9_name_all">'DATA'!$I$365</definedName>
    <definedName name="cst_owner9_POSTname">'DATA'!$I$341</definedName>
    <definedName name="cst_owner9_POSTname_add_sama">'DATA'!$I$353</definedName>
    <definedName name="cst_owners_name__all_in_one_add_sp3code">'DATA'!$I$234</definedName>
    <definedName name="cst_owners_name__all_in_one_add_sp3code_sama">'DATA'!$I$233</definedName>
    <definedName name="cst_p2_shinsei_CHOKUZEN_ISSUE_NO">'DATA'!$I$803</definedName>
    <definedName name="cst_p2_shinsei_HEN_SUMI_KOUFU_DATE">'DATA'!$I$799</definedName>
    <definedName name="cst_p2_shinsei_HEN_SUMI_KOUFU_DATE__disp">'DATA'!$I$801</definedName>
    <definedName name="cst_p2_shinsei_HEN_SUMI_KOUFU_DATE__shobun">'DATA'!$I$800</definedName>
    <definedName name="cst_p2_shinsei_HEN_SUMI_KOUFU_NAME">'DATA'!$I$796</definedName>
    <definedName name="cst_p2_shinsei_HEN_SUMI_NO">'DATA'!$I$797</definedName>
    <definedName name="cst_p2_shinsei_HEN_SUMI_NO__shobun">'DATA'!$I$798</definedName>
    <definedName name="cst_p2_shinsei_ISSUE_DATE">'DATA'!$I$791</definedName>
    <definedName name="cst_p2_shinsei_ISSUE_DATE__disp">'DATA'!$I$792</definedName>
    <definedName name="cst_p2_shinsei_ISSUE_NO">'DATA'!$I$789</definedName>
    <definedName name="cst_p2_shinsei_ISSUE_NO__disp">'DATA'!$I$790</definedName>
    <definedName name="cst_p2_shinsei_KAKUNINZUMI_KENSAIN">'DATA'!$I$788</definedName>
    <definedName name="cst_PRESENTER_ADDRESS__charge_BASE_DATE">'dOFFICE_name'!$H$19</definedName>
    <definedName name="cst_PRESENTER_ADDRESS__charge_income_INCOME_DATE">'dOFFICE_name'!$H$18</definedName>
    <definedName name="cst_PRESENTER_ADDRESS__charge_receipt_date">'dOFFICE_name'!$H$17</definedName>
    <definedName name="cst_PRESENTER_ADDRESS__FireDoui">'dOFFICE_name'!$H$15</definedName>
    <definedName name="cst_PRESENTER_ADDRESS__FireTuuchi">'dOFFICE_name'!$H$14</definedName>
    <definedName name="cst_PRESENTER_ADDRESS__Hikiuke">'dOFFICE_name'!$H$9</definedName>
    <definedName name="cst_PRESENTER_ADDRESS__HikiukeTuuchi">'dOFFICE_name'!$H$10</definedName>
    <definedName name="cst_PRESENTER_ADDRESS__Houkoku">'dOFFICE_name'!$H$12</definedName>
    <definedName name="cst_PRESENTER_ADDRESS__Issue">'dOFFICE_name'!$H$11</definedName>
    <definedName name="cst_PRESENTER_ADDRESS__Jizen">'dOFFICE_name'!$H$8</definedName>
    <definedName name="cst_PRESENTER_ADDRESS__JoukasouTuuchi">'dOFFICE_name'!$H$16</definedName>
    <definedName name="cst_PRESENTER_ADDRESS__KoufuFuka">'dOFFICE_name'!$H$13</definedName>
    <definedName name="cst_PRESENTER_ADDRESS2__charge_BASE_DATE">'dOFFICE_name'!$I$19</definedName>
    <definedName name="cst_PRESENTER_ADDRESS2__charge_income_INCOME_DATE">'dOFFICE_name'!$I$18</definedName>
    <definedName name="cst_PRESENTER_ADDRESS2__charge_receipt_date">'dOFFICE_name'!$I$17</definedName>
    <definedName name="cst_PRESENTER_ADDRESS2__FireDoui">'dOFFICE_name'!$I$15</definedName>
    <definedName name="cst_PRESENTER_ADDRESS2__FireTuuchi">'dOFFICE_name'!$I$14</definedName>
    <definedName name="cst_PRESENTER_ADDRESS2__Hikiuke">'dOFFICE_name'!$I$9</definedName>
    <definedName name="cst_PRESENTER_ADDRESS2__HikiukeTuuchi">'dOFFICE_name'!$I$10</definedName>
    <definedName name="cst_PRESENTER_ADDRESS2__Houkoku">'dOFFICE_name'!$I$12</definedName>
    <definedName name="cst_PRESENTER_ADDRESS2__Issue">'dOFFICE_name'!$I$11</definedName>
    <definedName name="cst_PRESENTER_ADDRESS2__Jizen">'dOFFICE_name'!$I$8</definedName>
    <definedName name="cst_PRESENTER_ADDRESS2__JoukasouTuuchi">'dOFFICE_name'!$I$16</definedName>
    <definedName name="cst_PRESENTER_ADDRESS2__KoufuFuka">'dOFFICE_name'!$I$13</definedName>
    <definedName name="cst_PRESENTER_CORP__charge_BASE_DATE">'dOFFICE_name'!$F$19</definedName>
    <definedName name="cst_PRESENTER_CORP__charge_income_INCOME_DATE">'dOFFICE_name'!$F$18</definedName>
    <definedName name="cst_PRESENTER_CORP__charge_receipt_date">'dOFFICE_name'!$F$17</definedName>
    <definedName name="cst_PRESENTER_CORP__FireDoui">'dOFFICE_name'!$F$15</definedName>
    <definedName name="cst_PRESENTER_CORP__FireTuuchi">'dOFFICE_name'!$F$14</definedName>
    <definedName name="cst_PRESENTER_CORP__Hikiuke">'dOFFICE_name'!$F$9</definedName>
    <definedName name="cst_PRESENTER_CORP__HikiukeTuuchi">'dOFFICE_name'!$F$10</definedName>
    <definedName name="cst_PRESENTER_CORP__Houkoku">'dOFFICE_name'!$F$12</definedName>
    <definedName name="cst_PRESENTER_CORP__Issue">'dOFFICE_name'!$F$11</definedName>
    <definedName name="cst_PRESENTER_CORP__Jizen">'dOFFICE_name'!$F$8</definedName>
    <definedName name="cst_PRESENTER_CORP__JoukasouTuuchi">'dOFFICE_name'!$F$16</definedName>
    <definedName name="cst_PRESENTER_CORP__KoufuFuka">'dOFFICE_name'!$F$13</definedName>
    <definedName name="cst_PRESENTER_CORPTYPE__charge_BASE_DATE">'dOFFICE_name'!$E$19</definedName>
    <definedName name="cst_PRESENTER_CORPTYPE__charge_income_INCOME_DATE">'dOFFICE_name'!$E$18</definedName>
    <definedName name="cst_PRESENTER_CORPTYPE__charge_receipt_date">'dOFFICE_name'!$E$17</definedName>
    <definedName name="cst_PRESENTER_CORPTYPE__FireDoui">'dOFFICE_name'!$E$15</definedName>
    <definedName name="cst_PRESENTER_CORPTYPE__FireTuuchi">'dOFFICE_name'!$E$14</definedName>
    <definedName name="cst_PRESENTER_CORPTYPE__Hikiuke">'dOFFICE_name'!$E$9</definedName>
    <definedName name="cst_PRESENTER_CORPTYPE__HikiukeTuuchi">'dOFFICE_name'!$E$10</definedName>
    <definedName name="cst_PRESENTER_CORPTYPE__Houkoku">'dOFFICE_name'!$E$12</definedName>
    <definedName name="cst_PRESENTER_CORPTYPE__Issue">'dOFFICE_name'!$E$11</definedName>
    <definedName name="cst_PRESENTER_CORPTYPE__Jizen">'dOFFICE_name'!$E$8</definedName>
    <definedName name="cst_PRESENTER_CORPTYPE__JoukasouTuuchi">'dOFFICE_name'!$E$16</definedName>
    <definedName name="cst_PRESENTER_CORPTYPE__KoufuFuka">'dOFFICE_name'!$E$13</definedName>
    <definedName name="cst_PRESENTER_DAIHYOSYA__charge_BASE_DATE">'dOFFICE_name'!$G$19</definedName>
    <definedName name="cst_PRESENTER_DAIHYOSYA__charge_income_INCOME_DATE">'dOFFICE_name'!$G$18</definedName>
    <definedName name="cst_PRESENTER_DAIHYOSYA__charge_receipt_date">'dOFFICE_name'!$G$17</definedName>
    <definedName name="cst_PRESENTER_DAIHYOSYA__FireDoui">'dOFFICE_name'!$G$15</definedName>
    <definedName name="cst_PRESENTER_DAIHYOSYA__FireTuuchi">'dOFFICE_name'!$G$14</definedName>
    <definedName name="cst_PRESENTER_DAIHYOSYA__Hikiuke">'dOFFICE_name'!$G$9</definedName>
    <definedName name="cst_PRESENTER_DAIHYOSYA__HikiukeTuuchi">'dOFFICE_name'!$G$10</definedName>
    <definedName name="cst_PRESENTER_DAIHYOSYA__Houkoku">'dOFFICE_name'!$G$12</definedName>
    <definedName name="cst_PRESENTER_DAIHYOSYA__Issue">'dOFFICE_name'!$G$11</definedName>
    <definedName name="cst_PRESENTER_DAIHYOSYA__Jizen">'dOFFICE_name'!$G$8</definedName>
    <definedName name="cst_PRESENTER_DAIHYOSYA__JoukasouTuuchi">'dOFFICE_name'!$G$16</definedName>
    <definedName name="cst_PRESENTER_DAIHYOSYA__KoufuFuka">'dOFFICE_name'!$G$13</definedName>
    <definedName name="cst_Receipt_No">'dDATA_cst'!$I$132</definedName>
    <definedName name="cst_Receipt_No_HEALTH">'dDATA_cst'!$I$171</definedName>
    <definedName name="cst_RENRAKUSAKI_KOUZOU_TANTOU">'dDATA_cst'!$A$70</definedName>
    <definedName name="cst_RENRAKUSAKI_KOUZOU_TANTOU__search">'dDATA_cst'!$H$67</definedName>
    <definedName name="cst_RENRAKUSAKI_KOUZOU_TANTOU_EMAIL">'dDATA_cst'!$H$68</definedName>
    <definedName name="cst_RENRAKUSAKI_KOUZOU_TANTOU_EMAILcheck_Erea">'dDATA_cst'!$A$74:$A$89</definedName>
    <definedName name="cst_RENRAKUSAKI_KOUZOU_TANTOU_Erea">'dDATA_cst'!$A$72:$A$89</definedName>
    <definedName name="cst_RENRAKUSAKI_KOUZOU_TANTOU_LinkCell">'dDATA_cst'!$A$71</definedName>
    <definedName name="cst_REPORT_SUMI_KOUFU_Select">'dDATA_cst'!$I$145</definedName>
    <definedName name="cst_SHINSAKAI">'dDATA_cst'!$I$19</definedName>
    <definedName name="cst_SHINSAKAI__base_point">'dDATA_cst'!$F$21</definedName>
    <definedName name="cst_SHINSAKAI__city_area">'dDATA_cst'!$B$22:$B$26</definedName>
    <definedName name="cst_SHINSAKAI__city_search">'dDATA_cst'!$I$18</definedName>
    <definedName name="cst_shinsei__NOTIFY_CAUSE">'DATA'!$I$733</definedName>
    <definedName name="cst_shinsei__NOTIFY_CAUSE_REPORT_CAUSE">'DATA'!$I$738</definedName>
    <definedName name="cst_shinsei__NOTIFY_DATE">'DATA'!$I$680</definedName>
    <definedName name="cst_shinsei__NOTIFY_DATE__add_disp">'DATA'!$I$681</definedName>
    <definedName name="cst_shinsei__NOTIFY_DATE__disp">'DATA'!$I$681</definedName>
    <definedName name="cst_shinsei__NOTIFY_KENSA_DATE">'DATA'!$I$741</definedName>
    <definedName name="cst_shinsei__NOTIFY_LIMIT_DATE">'DATA'!$I$730</definedName>
    <definedName name="cst_shinsei__NOTIFY_LIMIT_DATE__date_in_NOTIFY_NOTE">'DATA'!$I$732</definedName>
    <definedName name="cst_shinsei__NOTIFY_LIMIT_DATE__dd">'DATA'!$I$582</definedName>
    <definedName name="cst_shinsei__NOTIFY_LIMIT_DATE__disp">'DATA'!$I$728</definedName>
    <definedName name="cst_shinsei__NOTIFY_LIMIT_DATE__ee">'DATA'!$I$580</definedName>
    <definedName name="cst_shinsei__NOTIFY_LIMIT_DATE__lbl1">'DATA'!$I$726</definedName>
    <definedName name="cst_shinsei__NOTIFY_LIMIT_DATE__lbl2">'DATA'!$I$727</definedName>
    <definedName name="cst_shinsei__NOTIFY_LIMIT_DATE__mm">'DATA'!$I$581</definedName>
    <definedName name="cst_shinsei__NOTIFY_LIMIT_DATE__result_disp">'DATA'!$I$729</definedName>
    <definedName name="cst_shinsei__NOTIFY_LIMIT_DATE__text">'DATA'!$I$731</definedName>
    <definedName name="cst_shinsei__NOTIFY_NOTE">'DATA'!$I$734</definedName>
    <definedName name="cst_shinsei__NOTIFY_NOTE__ins_date">'DATA'!$I$735</definedName>
    <definedName name="cst_shinsei__NOTIFY_USER">'DATA'!$I$746</definedName>
    <definedName name="cst_shinsei__REPORT_CAUSE">'DATA'!$I$737</definedName>
    <definedName name="cst_shinsei__REPORT_DATE">'DATA'!$I$721</definedName>
    <definedName name="cst_shinsei__REPORT_DATE__disp">'DATA'!$I$722</definedName>
    <definedName name="cst_shinsei__REPORT_ISSUE_DATE">'DATA'!$I$780</definedName>
    <definedName name="cst_shinsei__REPORT_ISSUE_NO">'DATA'!$I$777</definedName>
    <definedName name="cst_shinsei__REPORT_KAKU_SUMI_KOUFU_DATE">'DATA'!$I$758</definedName>
    <definedName name="cst_shinsei__REPORT_KAKU_SUMI_KOUFU_DATE__disp">'DATA'!$I$760</definedName>
    <definedName name="cst_shinsei__REPORT_KAKU_SUMI_KOUFU_NAME">'DATA'!$I$764</definedName>
    <definedName name="cst_shinsei__REPORT_KAKU_SUMI_NO">'DATA'!$I$751</definedName>
    <definedName name="cst_shinsei__REPORT_KAKU_SUMI_NO__disp">'DATA'!$I$753</definedName>
    <definedName name="cst_shinsei__REPORT_NO__disp">'DATA'!$I$719</definedName>
    <definedName name="cst_shinsei__REPORT_RESULT">'DATA'!$I$744</definedName>
    <definedName name="cst_shinsei__REPORT_STRUCTRESULT_KOUFU_NAME">'DATA'!$I$773</definedName>
    <definedName name="cst_shinsei__REPORT_STRUCTRESULT_NOTIFY_DATE">'DATA'!$I$768</definedName>
    <definedName name="cst_shinsei__REPORT_STRUCTRESULT_NOTIFY_NO">'DATA'!$I$770</definedName>
    <definedName name="cst_shinsei__REPORT_STRUCTRESULT_NOTIFY_NO__search">'DATA'!$I$771</definedName>
    <definedName name="cst_shinsei__REPORT_STRUCTRESULT_NOTIFY_NO__search_disp">'DATA'!$I$772</definedName>
    <definedName name="cst_shinsei__REPORT_STRUCTRESULT_NOTIFY_RESULT">'DATA'!$I$774</definedName>
    <definedName name="cst_shinsei__STRUCTNOTIFT_HENKOU_NOTIFT_DATE">'DATA'!$I$702</definedName>
    <definedName name="cst_shinsei_ACCEPT_DATE">'DATA'!$I$612</definedName>
    <definedName name="cst_shinsei_ACCEPT_DATE__dd">'DATA'!$I$574</definedName>
    <definedName name="cst_shinsei_ACCEPT_DATE__ee">'DATA'!$I$572</definedName>
    <definedName name="cst_shinsei_ACCEPT_DATE__mm">'DATA'!$I$573</definedName>
    <definedName name="cst_shinsei_ACCEPT_TOKKI_JIKOU">'DATA'!$I$494</definedName>
    <definedName name="cst_shinsei_APPLICANT__address">'DATA'!$I$244</definedName>
    <definedName name="cst_shinsei_APPLICANT_CORP">'DATA'!$I$239</definedName>
    <definedName name="cst_shinsei_APPLICANT_NAME">'DATA'!$I$242</definedName>
    <definedName name="cst_shinsei_APPLICANT_name_all">'DATA'!$I$247</definedName>
    <definedName name="cst_shinsei_APPLICANT_NAME_KANA">'DATA'!$I$240</definedName>
    <definedName name="cst_shinsei_APPLICANT_POST">'DATA'!$I$241</definedName>
    <definedName name="cst_shinsei_APPLICANT_TEL">'DATA'!$I$245</definedName>
    <definedName name="cst_shinsei_APPLICANT_ZIP">'DATA'!$I$243</definedName>
    <definedName name="cst_shinsei_BILL_NAME">'DATA'!$I$450</definedName>
    <definedName name="cst_shinsei_BILL_NAME__common">'DATA'!$I$452</definedName>
    <definedName name="cst_shinsei_BILL_NAME__common__last_name">'dDATA_cst'!$I$105</definedName>
    <definedName name="cst_shinsei_BILL_NAME__common__last_name_before">'dDATA_cst'!$I$106</definedName>
    <definedName name="cst_shinsei_build_address">'DATA'!$I$396</definedName>
    <definedName name="cst_shinsei_build_BILL_SHINSEI_COUNT">'DATA'!$I$405</definedName>
    <definedName name="cst_shinsei_build_DOURO_SIKITI_HASSO_DATE">'DATA'!$I$491</definedName>
    <definedName name="cst_shinsei_build_DOURO_SIKITI_HASSO_DATE__disp">'DATA'!$I$492</definedName>
    <definedName name="cst_shinsei_build_JYUKYO__address">'DATA'!$I$397</definedName>
    <definedName name="cst_shinsei_build_KAISU_TIJYOU_SHINSEI">'DATA'!$I$407</definedName>
    <definedName name="cst_shinsei_build_KAISU_TIKA_SHINSEI__minus">'DATA'!$I$409</definedName>
    <definedName name="cst_shinsei_build_KAISU_TIKA_SHINSEI__zero">'DATA'!$I$408</definedName>
    <definedName name="cst_shinsei_build_KOUJI_DAI_MOYOUGAE">'DATA'!$I$424</definedName>
    <definedName name="cst_shinsei_build_KOUJI_DAI_SYUUZEN">'DATA'!$I$423</definedName>
    <definedName name="cst_shinsei_build_KOUJI_ITEN">'DATA'!$I$421</definedName>
    <definedName name="cst_shinsei_build_KOUJI_KAITIKU">'DATA'!$I$420</definedName>
    <definedName name="cst_shinsei_build_KOUJI_SINTIKU">'DATA'!$I$418</definedName>
    <definedName name="cst_shinsei_build_KOUJI_YOUTOHENKOU">'DATA'!$I$422</definedName>
    <definedName name="cst_shinsei_build_KOUJI_ZOUTIKU">'DATA'!$I$419</definedName>
    <definedName name="cst_shinsei_build_kouzou">'DATA'!$I$448</definedName>
    <definedName name="cst_shinsei_BUILD_NAME_COMP">'DATA'!$I$560</definedName>
    <definedName name="cst_shinsei_build_NOBE_MENSEKI_BILL_SHINSEI">'DATA'!$I$401</definedName>
    <definedName name="cst_shinsei_build_NOBE_MENSEKI_BILL_SHINSEI_IGAI__minus">'DATA'!$I$403</definedName>
    <definedName name="cst_shinsei_build_NOBE_MENSEKI_BILL_SHINSEI_IGAI__zero">'DATA'!$I$402</definedName>
    <definedName name="cst_shinsei_build_NOBE_MENSEKI_BILL_SHINSEI_TOTAL">'DATA'!$I$404</definedName>
    <definedName name="cst_shinsei_build_SHIKITI_MENSEKI_1_TOTAL">'DATA'!$I$399</definedName>
    <definedName name="cst_shinsei_build_STAT_HOU6">'DATA'!$I$493</definedName>
    <definedName name="cst_shinsei_build_STAT_HOU6__firestation">'dDATA_cst'!$I$34</definedName>
    <definedName name="cst_shinsei_build_STAT_HOU6__umu">'dDATA_cst'!$I$35</definedName>
    <definedName name="cst_shinsei_build_STAT_SEPTICTANK">'DATA'!$I$480</definedName>
    <definedName name="cst_shinsei_build_STAT_SEPTICTANK_CAPACITY">'DATA'!$I$481</definedName>
    <definedName name="cst_shinsei_build_STAT_SEPTICTANK_KIBO">'DATA'!$I$482</definedName>
    <definedName name="cst_shinsei_build_YOUTO">'DATA'!$I$412</definedName>
    <definedName name="cst_shinsei_build_YOUTO_CODE">'DATA'!$I$411</definedName>
    <definedName name="cst_shinsei_build_YOUTO_PRINT">'DATA'!$I$413</definedName>
    <definedName name="cst_shinsei_CHARGE_ID__BASIC_CHARGE">'DATA_fee_detail'!$I$28</definedName>
    <definedName name="cst_shinsei_CHARGE_ID__bill__date">'DATA_fee_detail'!$I$10</definedName>
    <definedName name="cst_shinsei_CHARGE_ID__DENPYOU_NO">'DATA_fee_detail'!$I$14</definedName>
    <definedName name="cst_shinsei_CHARGE_ID__income01_INCOME_DATE">'DATA_fee_detail'!$I$91</definedName>
    <definedName name="cst_shinsei_CHARGE_ID__income01_INCOME_MONEY">'DATA_fee_detail'!$I$94</definedName>
    <definedName name="cst_shinsei_CHARGE_ID__income02_INCOME_DATE">'DATA_fee_detail'!$I$92</definedName>
    <definedName name="cst_shinsei_CHARGE_ID__income02_INCOME_MONEY">'DATA_fee_detail'!$I$95</definedName>
    <definedName name="cst_shinsei_CHARGE_ID__income03_INCOME_DATE">'DATA_fee_detail'!$I$93</definedName>
    <definedName name="cst_shinsei_CHARGE_ID__income03_INCOME_MONEY">'DATA_fee_detail'!$I$96</definedName>
    <definedName name="cst_shinsei_CHARGE_ID__meisai01_ITEM_NAME">'DATA_fee_detail'!$I$35</definedName>
    <definedName name="cst_shinsei_CHARGE_ID__meisai01_SURYOU">'DATA_fee_detail'!$I$36</definedName>
    <definedName name="cst_shinsei_CHARGE_ID__meisai01_SYOUKEI">'DATA_fee_detail'!$I$38</definedName>
    <definedName name="cst_shinsei_CHARGE_ID__meisai01_TANKA">'DATA_fee_detail'!$I$37</definedName>
    <definedName name="cst_shinsei_CHARGE_ID__meisai02_ITEM_NAME">'DATA_fee_detail'!$I$40</definedName>
    <definedName name="cst_shinsei_CHARGE_ID__meisai02_SURYOU">'DATA_fee_detail'!$I$41</definedName>
    <definedName name="cst_shinsei_CHARGE_ID__meisai02_SYOUKEI">'DATA_fee_detail'!$I$43</definedName>
    <definedName name="cst_shinsei_CHARGE_ID__meisai02_TANKA">'DATA_fee_detail'!$I$42</definedName>
    <definedName name="cst_shinsei_CHARGE_ID__meisai03_ITEM_NAME">'DATA_fee_detail'!$I$45</definedName>
    <definedName name="cst_shinsei_CHARGE_ID__meisai03_SURYOU">'DATA_fee_detail'!$I$46</definedName>
    <definedName name="cst_shinsei_CHARGE_ID__meisai03_SYOUKEI">'DATA_fee_detail'!$I$48</definedName>
    <definedName name="cst_shinsei_CHARGE_ID__meisai03_TANKA">'DATA_fee_detail'!$I$47</definedName>
    <definedName name="cst_shinsei_CHARGE_ID__meisai04_ITEM_NAME">'DATA_fee_detail'!$I$50</definedName>
    <definedName name="cst_shinsei_CHARGE_ID__meisai04_SURYOU">'DATA_fee_detail'!$I$51</definedName>
    <definedName name="cst_shinsei_CHARGE_ID__meisai04_SYOUKEI">'DATA_fee_detail'!$I$53</definedName>
    <definedName name="cst_shinsei_CHARGE_ID__meisai04_TANKA">'DATA_fee_detail'!$I$52</definedName>
    <definedName name="cst_shinsei_CHARGE_ID__meisai05_ITEM_NAME">'DATA_fee_detail'!$I$55</definedName>
    <definedName name="cst_shinsei_CHARGE_ID__meisai05_SURYOU">'DATA_fee_detail'!$I$56</definedName>
    <definedName name="cst_shinsei_CHARGE_ID__meisai05_SYOUKEI">'DATA_fee_detail'!$I$58</definedName>
    <definedName name="cst_shinsei_CHARGE_ID__meisai05_TANKA">'DATA_fee_detail'!$I$57</definedName>
    <definedName name="cst_shinsei_CHARGE_ID__meisai06_ITEM_NAME">'DATA_fee_detail'!$I$60</definedName>
    <definedName name="cst_shinsei_CHARGE_ID__meisai06_SURYOU">'DATA_fee_detail'!$I$61</definedName>
    <definedName name="cst_shinsei_CHARGE_ID__meisai06_SYOUKEI">'DATA_fee_detail'!$I$63</definedName>
    <definedName name="cst_shinsei_CHARGE_ID__meisai06_TANKA">'DATA_fee_detail'!$I$62</definedName>
    <definedName name="cst_shinsei_CHARGE_ID__meisai07_ITEM_NAME">'DATA_fee_detail'!$I$65</definedName>
    <definedName name="cst_shinsei_CHARGE_ID__meisai07_SURYOU">'DATA_fee_detail'!$I$66</definedName>
    <definedName name="cst_shinsei_CHARGE_ID__meisai07_SYOUKEI">'DATA_fee_detail'!$I$68</definedName>
    <definedName name="cst_shinsei_CHARGE_ID__meisai07_TANKA">'DATA_fee_detail'!$I$67</definedName>
    <definedName name="cst_shinsei_CHARGE_ID__meisai08_ITEM_NAME">'DATA_fee_detail'!$I$70</definedName>
    <definedName name="cst_shinsei_CHARGE_ID__meisai08_SURYOU">'DATA_fee_detail'!$I$71</definedName>
    <definedName name="cst_shinsei_CHARGE_ID__meisai08_SYOUKEI">'DATA_fee_detail'!$I$73</definedName>
    <definedName name="cst_shinsei_CHARGE_ID__meisai08_TANKA">'DATA_fee_detail'!$I$72</definedName>
    <definedName name="cst_shinsei_CHARGE_ID__meisai09_ITEM_NAME">'DATA_fee_detail'!$I$75</definedName>
    <definedName name="cst_shinsei_CHARGE_ID__meisai09_SURYOU">'DATA_fee_detail'!$I$76</definedName>
    <definedName name="cst_shinsei_CHARGE_ID__meisai09_SYOUKEI">'DATA_fee_detail'!$I$78</definedName>
    <definedName name="cst_shinsei_CHARGE_ID__meisai09_TANKA">'DATA_fee_detail'!$I$77</definedName>
    <definedName name="cst_shinsei_CHARGE_ID__meisai10_ITEM_NAME">'DATA_fee_detail'!$I$80</definedName>
    <definedName name="cst_shinsei_CHARGE_ID__meisai10_SURYOU">'DATA_fee_detail'!$I$81</definedName>
    <definedName name="cst_shinsei_CHARGE_ID__meisai10_SYOUKEI">'DATA_fee_detail'!$I$83</definedName>
    <definedName name="cst_shinsei_CHARGE_ID__meisai10_TANKA">'DATA_fee_detail'!$I$82</definedName>
    <definedName name="cst_shinsei_CHARGE_ID__meisai11_ITEM_NAME">'DATA_fee_detail'!$I$85</definedName>
    <definedName name="cst_shinsei_CHARGE_ID__meisai11_SURYOU">'DATA_fee_detail'!$I$86</definedName>
    <definedName name="cst_shinsei_CHARGE_ID__meisai11_SYOUKEI">'DATA_fee_detail'!$I$88</definedName>
    <definedName name="cst_shinsei_CHARGE_ID__meisai11_TANKA">'DATA_fee_detail'!$I$87</definedName>
    <definedName name="cst_shinsei_CHARGE_ID__RECEIPT_DATE__add_disp">'DATA_fee_detail'!$I$11</definedName>
    <definedName name="cst_shinsei_CHARGE_ID__RECEIPT_PRICE">'DATA_fee_detail'!$I$21</definedName>
    <definedName name="cst_shinsei_CHARGE_ID__RECEIPT_PRICE__disp">'DATA_fee_detail'!$I$22</definedName>
    <definedName name="cst_shinsei_CHARGE_ID__RECEIPT_TO">'DATA_fee_detail'!$I$13</definedName>
    <definedName name="cst_shinsei_CHARGE_ID__RECEIPT_TO__add_sama">'DATA_fee_detail'!$I$12</definedName>
    <definedName name="cst_shinsei_CHARGE_ID__TIIKIWARIMASHI_CHARGE">'DATA_fee_detail'!$I$33</definedName>
    <definedName name="cst_shinsei_CHARGE_ID__TIIKIWARIMASHI_SURYOU">'DATA_fee_detail'!$I$31</definedName>
    <definedName name="cst_shinsei_CHARGE_ID__TIIKIWARIMASHI_TANKA">'DATA_fee_detail'!$I$32</definedName>
    <definedName name="cst_shinsei_ctrl">'DATA'!$I$807</definedName>
    <definedName name="cst_shinsei_DAIRI__address">'DATA'!$I$378</definedName>
    <definedName name="cst_shinsei_DAIRI_FAX">'DATA'!$I$380</definedName>
    <definedName name="cst_shinsei_DAIRI_JIMU_NAME">'DATA'!$I$375</definedName>
    <definedName name="cst_shinsei_DAIRI_NAME">'DATA'!$I$376</definedName>
    <definedName name="cst_shinsei_DAIRI_POST_CODE">'DATA'!$I$377</definedName>
    <definedName name="cst_shinsei_DAIRI_TEL">'DATA'!$I$379</definedName>
    <definedName name="cst_shinsei_ev_EV_BILL_NAME">'DATA'!$I$499</definedName>
    <definedName name="cst_shinsei_ev_EV_BILL_YOUTO">'DATA'!$I$500</definedName>
    <definedName name="cst_shinsei_ev_EV_COUNT">'DATA'!$I$509</definedName>
    <definedName name="cst_shinsei_ev_EV_SEKISAI">'DATA'!$I$503</definedName>
    <definedName name="cst_shinsei_ev_EV_SONOTA">'DATA'!$I$507</definedName>
    <definedName name="cst_shinsei_ev_EV_SPEED">'DATA'!$I$506</definedName>
    <definedName name="cst_shinsei_ev_EV_SYUBETU">'DATA'!$I$501</definedName>
    <definedName name="cst_shinsei_ev_EV_TEIIN">'DATA'!$I$504</definedName>
    <definedName name="cst_shinsei_ev_EV_TEIIN__tani">'DATA'!$I$505</definedName>
    <definedName name="cst_shinsei_ev_EV_YOUTO">'DATA'!$I$502</definedName>
    <definedName name="cst_shinsei_ev_KOUSAKU_KOUJI_KAITIKU">'DATA'!$I$428</definedName>
    <definedName name="cst_shinsei_ev_KOUSAKU_KOUJI_SHINTIKU">'DATA'!$I$426</definedName>
    <definedName name="cst_shinsei_ev_KOUSAKU_KOUJI_SONOTA">'DATA'!$I$429</definedName>
    <definedName name="cst_shinsei_ev_KOUSAKU_KOUJI_ZOUTIKU">'DATA'!$I$427</definedName>
    <definedName name="cst_shinsei_ev_KOUSAKU_KOUZOU">'DATA'!$I$525</definedName>
    <definedName name="cst_shinsei_ev_KOUSAKU_SONOTA">'DATA'!$I$526</definedName>
    <definedName name="cst_shinsei_ev_KOUSAKU_SYURUI">'DATA'!$I$518</definedName>
    <definedName name="cst_shinsei_ev_KOUSAKU_SYURUI_CODE">'DATA'!$I$517</definedName>
    <definedName name="cst_shinsei_ev_KOUSAKU_TAKASA">'DATA'!$I$519</definedName>
    <definedName name="cst_shinsei_ev_KOUSAKU_TAKASA__range_sign">'DATA'!$I$522</definedName>
    <definedName name="cst_shinsei_ev_KOUSAKU_TAKASA__range1">'DATA'!$I$521</definedName>
    <definedName name="cst_shinsei_ev_KOUSAKU_TAKASA__range2">'DATA'!$I$523</definedName>
    <definedName name="cst_shinsei_ev_KOUSAKU_TAKASA_BIKO">'DATA'!$I$524</definedName>
    <definedName name="cst_shinsei_ev_KOUSAKU_TAKASA_MAX">'DATA'!$I$520</definedName>
    <definedName name="cst_shinsei_ev_KOUSAKU882_YOUTO">'DATA'!$I$528</definedName>
    <definedName name="cst_shinsei_ev_TIKUZOUMENSEKI_IGAI">'DATA'!$I$531</definedName>
    <definedName name="cst_shinsei_ev_TIKUZOUMENSEKI_SHINSEI">'DATA'!$I$529</definedName>
    <definedName name="cst_shinsei_ev_TIKUZOUMENSEKI_SHINSEI__minus">'DATA'!$I$530</definedName>
    <definedName name="cst_shinsei_ev_TIKUZOUMENSEKI_TOTAL">'DATA'!$I$532</definedName>
    <definedName name="cst_shinsei_EV_TYPE">'DATA'!$I$508</definedName>
    <definedName name="cst_shinsei_ev_WORKCOUNT_SHINSEI">'DATA'!$I$515</definedName>
    <definedName name="cst_shinsei_final_KAN_KANRYOU_YOTEI_DATE">'DATA'!$I$456</definedName>
    <definedName name="cst_shinsei_final_KOUJI_DAI_MOYOUGAE">'DATA'!$I$444</definedName>
    <definedName name="cst_shinsei_final_KOUJI_DAI_SYUUZEN">'DATA'!$I$443</definedName>
    <definedName name="cst_shinsei_final_KOUJI_ITEN">'DATA'!$I$442</definedName>
    <definedName name="cst_shinsei_final_KOUJI_KAITIKU">'DATA'!$I$441</definedName>
    <definedName name="cst_shinsei_final_KOUJI_SETUBISETTI">'DATA'!$I$445</definedName>
    <definedName name="cst_shinsei_final_KOUJI_SINTIKU">'DATA'!$I$439</definedName>
    <definedName name="cst_shinsei_final_KOUJI_ZOUTIKU">'DATA'!$I$440</definedName>
    <definedName name="cst_shinsei_FIRE_NOTIFY_DATE">'DATA'!$I$471</definedName>
    <definedName name="cst_shinsei_FIRE_NOTIFY_DATE__disp">'DATA'!$I$472</definedName>
    <definedName name="cst_shinsei_FIRE_SUBMIT_DATE">'DATA'!$I$468</definedName>
    <definedName name="cst_shinsei_FIRE_SUBMIT_DATE__disp">'DATA'!$I$469</definedName>
    <definedName name="cst_shinsei_HEALTH_NOTIFY_DATE">'DATA'!$I$484</definedName>
    <definedName name="cst_shinsei_HEALTH_NOTIFY_DATE__disp">'DATA'!$I$485</definedName>
    <definedName name="cst_shinsei_HIKIUKE_DATE">'DATA'!$I$614</definedName>
    <definedName name="cst_shinsei_HIKIUKE_DATE__dd">'DATA'!$I$578</definedName>
    <definedName name="cst_shinsei_HIKIUKE_DATE__disp">'DATA'!$I$615</definedName>
    <definedName name="cst_shinsei_HIKIUKE_DATE__ee">'DATA'!$I$576</definedName>
    <definedName name="cst_shinsei_HIKIUKE_DATE__mm">'DATA'!$I$577</definedName>
    <definedName name="cst_shinsei_HIKIUKE_DATE__text">'DATA'!$I$616</definedName>
    <definedName name="cst_shinsei_HIKIUKE_KAKU_KOUFU_YOTEI_DATE">'DATA'!$I$187</definedName>
    <definedName name="cst_shinsei_HIKIUKE_TANTO">'DATA'!$I$42</definedName>
    <definedName name="cst_shinsei_HIKIUKE_TUUTI_DATE">'DATA'!$I$618</definedName>
    <definedName name="cst_shinsei_HIKIUKE_TUUTI_DATE__disp">'DATA'!$I$619</definedName>
    <definedName name="cst_shinsei_HOUKOKU_DATE">'DATA'!$I$657</definedName>
    <definedName name="cst_shinsei_imposs1_NOTIFY_CAUSE">'DATA'!$I$853</definedName>
    <definedName name="cst_shinsei_imposs1_NOTIFY_DATE">'DATA'!$I$850</definedName>
    <definedName name="cst_shinsei_imposs1_NOTIFY_LIMIT_DATE">'DATA'!$I$852</definedName>
    <definedName name="cst_shinsei_imposs1_NOTIFY_NOTE">'DATA'!$I$854</definedName>
    <definedName name="cst_shinsei_imposs1_NOTIFY_USER">'DATA'!$I$851</definedName>
    <definedName name="cst_shinsei_imposs1_REPORT_DATE">'DATA'!$I$857</definedName>
    <definedName name="cst_shinsei_imposs1_STRUCT_NOTIFT_DATE">'DATA'!$I$860</definedName>
    <definedName name="cst_shinsei_imposs1_STRUCT_NOTIFT_NO">'DATA'!$I$861</definedName>
    <definedName name="cst_shinsei_imposs1_STRUCT_TUIKA_DATE">'DATA'!$I$862</definedName>
    <definedName name="cst_shinsei_imposs1_STRUCTTUIKA_NOTIFT_DATE">'DATA'!$I$863</definedName>
    <definedName name="cst_shinsei_imposs2_NOTIFY_CAUSE">'DATA'!$I$870</definedName>
    <definedName name="cst_shinsei_imposs2_NOTIFY_DATE">'DATA'!$I$867</definedName>
    <definedName name="cst_shinsei_imposs2_NOTIFY_LIMIT_DATE">'DATA'!$I$869</definedName>
    <definedName name="cst_shinsei_imposs2_NOTIFY_NOTE">'DATA'!$I$871</definedName>
    <definedName name="cst_shinsei_imposs2_NOTIFY_USER">'DATA'!$I$868</definedName>
    <definedName name="cst_shinsei_imposs2_REPORT_DATE">'DATA'!$I$874</definedName>
    <definedName name="cst_shinsei_imposs2_STRUCT_NOTIFT_DATE">'DATA'!$I$877</definedName>
    <definedName name="cst_shinsei_imposs2_STRUCT_NOTIFT_NO">'DATA'!$I$878</definedName>
    <definedName name="cst_shinsei_imposs2_STRUCT_TUIKA_DATE">'DATA'!$I$879</definedName>
    <definedName name="cst_shinsei_imposs2_STRUCTTUIKA_NOTIFT_DATE">'DATA'!$I$880</definedName>
    <definedName name="cst_shinsei_imposs3_NOTIFY_CAUSE">'DATA'!$I$887</definedName>
    <definedName name="cst_shinsei_imposs3_NOTIFY_DATE">'DATA'!$I$884</definedName>
    <definedName name="cst_shinsei_imposs3_NOTIFY_LIMIT_DATE">'DATA'!$I$886</definedName>
    <definedName name="cst_shinsei_imposs3_NOTIFY_NOTE">'DATA'!$I$888</definedName>
    <definedName name="cst_shinsei_imposs3_NOTIFY_USER">'DATA'!$I$885</definedName>
    <definedName name="cst_shinsei_imposs3_REPORT_DATE">'DATA'!$I$891</definedName>
    <definedName name="cst_shinsei_imposs3_STRUCT_NOTIFT_DATE">'DATA'!$I$894</definedName>
    <definedName name="cst_shinsei_imposs3_STRUCT_NOTIFT_NO">'DATA'!$I$895</definedName>
    <definedName name="cst_shinsei_imposs3_STRUCT_TUIKA_DATE">'DATA'!$I$896</definedName>
    <definedName name="cst_shinsei_imposs3_STRUCTTUIKA_NOTIFT_DATE">'DATA'!$I$897</definedName>
    <definedName name="cst_shinsei_imposs4_NOTIFY_CAUSE">'DATA'!$I$904</definedName>
    <definedName name="cst_shinsei_imposs4_NOTIFY_DATE">'DATA'!$I$901</definedName>
    <definedName name="cst_shinsei_imposs4_NOTIFY_LIMIT_DATE">'DATA'!$I$903</definedName>
    <definedName name="cst_shinsei_imposs4_NOTIFY_NOTE">'DATA'!$I$905</definedName>
    <definedName name="cst_shinsei_imposs4_NOTIFY_USER">'DATA'!$I$902</definedName>
    <definedName name="cst_shinsei_imposs4_REPORT_DATE">'DATA'!$I$908</definedName>
    <definedName name="cst_shinsei_imposs4_STRUCT_NOTIFT_DATE">'DATA'!$I$911</definedName>
    <definedName name="cst_shinsei_imposs4_STRUCT_NOTIFT_NO">'DATA'!$I$912</definedName>
    <definedName name="cst_shinsei_imposs4_STRUCT_TUIKA_DATE">'DATA'!$I$913</definedName>
    <definedName name="cst_shinsei_imposs4_STRUCTTUIKA_NOTIFT_DATE">'DATA'!$I$914</definedName>
    <definedName name="cst_shinsei_imposs5_NOTIFY_CAUSE">'DATA'!$I$921</definedName>
    <definedName name="cst_shinsei_imposs5_NOTIFY_DATE">'DATA'!$I$918</definedName>
    <definedName name="cst_shinsei_imposs5_NOTIFY_LIMIT_DATE">'DATA'!$I$920</definedName>
    <definedName name="cst_shinsei_imposs5_NOTIFY_NOTE">'DATA'!$I$922</definedName>
    <definedName name="cst_shinsei_imposs5_NOTIFY_USER">'DATA'!$I$919</definedName>
    <definedName name="cst_shinsei_imposs5_REPORT_DATE">'DATA'!$I$925</definedName>
    <definedName name="cst_shinsei_imposs5_STRUCT_NOTIFT_DATE">'DATA'!$I$928</definedName>
    <definedName name="cst_shinsei_imposs5_STRUCT_NOTIFT_NO">'DATA'!$I$929</definedName>
    <definedName name="cst_shinsei_imposs5_STRUCT_TUIKA_DATE">'DATA'!$I$930</definedName>
    <definedName name="cst_shinsei_imposs5_STRUCTTUIKA_NOTIFT_DATE">'DATA'!$I$931</definedName>
    <definedName name="cst_shinsei_imposs6_NOTIFY_CAUSE">'DATA'!$I$938</definedName>
    <definedName name="cst_shinsei_imposs6_NOTIFY_DATE">'DATA'!$I$935</definedName>
    <definedName name="cst_shinsei_imposs6_NOTIFY_LIMIT_DATE">'DATA'!$I$937</definedName>
    <definedName name="cst_shinsei_imposs6_NOTIFY_NOTE">'DATA'!$I$939</definedName>
    <definedName name="cst_shinsei_imposs6_NOTIFY_USER">'DATA'!$I$936</definedName>
    <definedName name="cst_shinsei_imposs6_REPORT_DATE">'DATA'!$I$942</definedName>
    <definedName name="cst_shinsei_imposs6_STRUCT_NOTIFT_DATE">'DATA'!$I$945</definedName>
    <definedName name="cst_shinsei_imposs6_STRUCT_NOTIFT_NO">'DATA'!$I$946</definedName>
    <definedName name="cst_shinsei_imposs6_STRUCT_TUIKA_DATE">'DATA'!$I$947</definedName>
    <definedName name="cst_shinsei_imposs6_STRUCTTUIKA_NOTIFT_DATE">'DATA'!$I$948</definedName>
    <definedName name="cst_shinsei_impossx_NOTIFY_CAUSE">'DATA'!$I$954</definedName>
    <definedName name="cst_shinsei_impossx_NOTIFY_DATE">'DATA'!$I$952</definedName>
    <definedName name="cst_shinsei_impossx_NOTIFY_NOTE">'DATA'!$I$955</definedName>
    <definedName name="cst_shinsei_impossx_NOTIFY_USER">'DATA'!$I$953</definedName>
    <definedName name="cst_shinsei_impossx_REPORT_DATE">'DATA'!$I$958</definedName>
    <definedName name="cst_shinsei_impossx_STRUCT_NOTIFT_DATE">'DATA'!$I$961</definedName>
    <definedName name="cst_shinsei_impossx_STRUCT_NOTIFT_NO">'DATA'!$I$962</definedName>
    <definedName name="cst_shinsei_impossx_STRUCT_TUIKA_DATE">'DATA'!$I$963</definedName>
    <definedName name="cst_shinsei_impossx_STRUCTTUIKA_NOTIFT_DATE">'DATA'!$I$964</definedName>
    <definedName name="cst_shinsei_INSPECTION_NO">'DATA'!$I$77</definedName>
    <definedName name="cst_shinsei_INSPECTION_TYPE">'DATA'!$I$73</definedName>
    <definedName name="cst_shinsei_INSPECTION_TYPE_class2">'DATA'!$I$74</definedName>
    <definedName name="cst_shinsei_INSPECTION_TYPE_class3">'DATA'!$I$75</definedName>
    <definedName name="cst_shinsei_INSPECTION_TYPE_class4">'DATA'!$I$76</definedName>
    <definedName name="cst_shinsei_INTER_KOUKU">'DATA'!$I$553</definedName>
    <definedName name="cst_shinsei_intermediate_BILL_KOUJI_DAI_MOYOUGAE">'DATA'!$I$436</definedName>
    <definedName name="cst_shinsei_intermediate_BILL_KOUJI_DAI_SYUUZEN">'DATA'!$I$435</definedName>
    <definedName name="cst_shinsei_intermediate_BILL_KOUJI_ITEN">'DATA'!$I$434</definedName>
    <definedName name="cst_shinsei_intermediate_BILL_KOUJI_KAITIKU">'DATA'!$I$433</definedName>
    <definedName name="cst_shinsei_intermediate_BILL_KOUJI_SETUBISETTI">'DATA'!$I$437</definedName>
    <definedName name="cst_shinsei_intermediate_BILL_KOUJI_SINTIKU">'DATA'!$I$431</definedName>
    <definedName name="cst_shinsei_intermediate_BILL_KOUJI_ZOUTIKU">'DATA'!$I$432</definedName>
    <definedName name="cst_shinsei_intermediate_CYU1_KAISUU">'DATA'!$I$549</definedName>
    <definedName name="cst_shinsei_intermediate_CYU1_NITTEI">'DATA'!$I$551</definedName>
    <definedName name="cst_shinsei_intermediate_CYU1_NITTEI__disp">'DATA'!$I$552</definedName>
    <definedName name="cst_shinsei_intermediate_CYU1_YUKA_MENSEKI">'DATA'!$I$554</definedName>
    <definedName name="cst_shinsei_intermediate_GOUKAKU_KENSAIN">'DATA'!$I$643</definedName>
    <definedName name="cst_shinsei_Intermediate_GOUKAKU_TOKKI_JIKOU">'DATA'!$I$653</definedName>
    <definedName name="cst_shinsei_intermediate_KENSA_DATE">'DATA'!$I$648</definedName>
    <definedName name="cst_shinsei_intermediate_KENSA_KEKKA">'DATA'!$I$637</definedName>
    <definedName name="cst_shinsei_intermediate_SPECIFIC_KOUTEI">'DATA'!$I$550</definedName>
    <definedName name="cst_shinsei_ISHOU_TANTO">'DATA'!$I$46</definedName>
    <definedName name="cst_shinsei_ISHOU_TANTO2">'DATA'!$I$47</definedName>
    <definedName name="cst_shinsei_ISHOU_TANTO3">'DATA'!$I$48</definedName>
    <definedName name="cst_shinsei_ISSUE_DATE">'DATA'!$I$627</definedName>
    <definedName name="cst_shinsei_ISSUE_DATE__disp">'DATA'!$I$628</definedName>
    <definedName name="cst_shinsei_ISSUE_KOUFU_NAME">'DATA'!$I$633</definedName>
    <definedName name="cst_shinsei_ISSUE_KOUFU_NAME__code">'DATA'!$I$634</definedName>
    <definedName name="cst_shinsei_ISSUE_NO">'DATA'!$I$630</definedName>
    <definedName name="cst_shinsei_ISSUE_NO__disp">'DATA'!$I$631</definedName>
    <definedName name="cst_shinsei_ISSUE_NOTIFY_DATE">'DATA'!$I$723</definedName>
    <definedName name="cst_shinsei_ISSUE_NOTIFY_DATE__disp">'DATA'!$I$724</definedName>
    <definedName name="cst_shinsei_KAKU_SUMI_KOUFU_DATE">'DATA'!$I$666</definedName>
    <definedName name="cst_shinsei_KAKU_SUMI_KOUFU_DATE__disp">'DATA'!$I$667</definedName>
    <definedName name="cst_shinsei_KAKU_SUMI_KOUFU_NAME">'DATA'!$I$668</definedName>
    <definedName name="cst_shinsei_KAKU_SUMI_KOUFU_NAME__code">'DATA'!$I$669</definedName>
    <definedName name="cst_shinsei_KAKU_SUMI_NO">'DATA'!$I$664</definedName>
    <definedName name="cst_shinsei_KAKU_SUMI_NO__disp">'DATA'!$I$665</definedName>
    <definedName name="cst_shinsei_KAKUNINZUMI_HOUKOKU_GYOSEI_DATE">'DATA'!$I$490</definedName>
    <definedName name="cst_shinsei_KAKUNINZUMI_HOUKOKU_GYOSEI_DATE__dd">'DATA'!$I$600</definedName>
    <definedName name="cst_shinsei_KAKUNINZUMI_HOUKOKU_GYOSEI_DATE__ee">'DATA'!$I$598</definedName>
    <definedName name="cst_shinsei_KAKUNINZUMI_HOUKOKU_GYOSEI_DATE__mm">'DATA'!$I$599</definedName>
    <definedName name="cst_shinsei_KAKUNINZUMI_HOUKOKU_GYOSEI_NO">'DATA'!$I$102</definedName>
    <definedName name="cst_shinsei_KAKUNINZUMI_KENSAIN">'DATA'!$I$642</definedName>
    <definedName name="cst_shinsei_KAN_HOUKOKU_KENSA_DATE">'DATA'!$I$649</definedName>
    <definedName name="cst_shinsei_KAN_KENSA_KEKKA">'DATA'!$I$638</definedName>
    <definedName name="cst_shinsei_KAN_ZUMI_KENSAIN">'DATA'!$I$644</definedName>
    <definedName name="cst_shinsei_KAN_ZUMI_TOKKI_JIKOU">'DATA'!$I$654</definedName>
    <definedName name="cst_shinsei_KENSA_DATE">'DATA'!$I$650</definedName>
    <definedName name="cst_shinsei_KENSA_DATE__add_disp">'DATA'!$I$651</definedName>
    <definedName name="cst_shinsei_KENSA_KEKKA">'DATA'!$I$639</definedName>
    <definedName name="cst_shinsei_KENSA_RESULT">'DATA'!$I$636</definedName>
    <definedName name="cst_shinsei_KENSAIN">'DATA'!$I$645</definedName>
    <definedName name="cst_shinsei_kouji">'DATA'!$I$414</definedName>
    <definedName name="cst_shinsei_KOUJI_KANRYOU_DATE">'DATA'!$I$455</definedName>
    <definedName name="cst_shinsei_KOUJI_KANRYOU_DATE__common">'DATA'!$I$457</definedName>
    <definedName name="cst_shinsei_KOUJI_KANRYOU_DATE__common__disp">'DATA'!$I$458</definedName>
    <definedName name="cst_shinsei_KOUJI_YUKA_MENSEKI">'DATA'!$I$559</definedName>
    <definedName name="cst_shinsei_KOUZOU_TANTO">'DATA'!$I$49</definedName>
    <definedName name="cst_shinsei_KOUZOU_TANTO1">'DATA'!$I$43</definedName>
    <definedName name="cst_shinsei_KOUZOU_TANTO2">'DATA'!$I$50</definedName>
    <definedName name="cst_shinsei_KOUZOU_TANTO3">'DATA'!$I$51</definedName>
    <definedName name="cst_shinsei_ng1_NOTIFY_CAUSE">'DATA'!$I$973</definedName>
    <definedName name="cst_shinsei_ng1_NOTIFY_DATE">'DATA'!$I$969</definedName>
    <definedName name="cst_shinsei_ng1_NOTIFY_KENSA_DATE">'DATA'!$I$971</definedName>
    <definedName name="cst_shinsei_ng1_NOTIFY_LIMIT_DATE">'DATA'!$I$972</definedName>
    <definedName name="cst_shinsei_ng1_NOTIFY_NOTE">'DATA'!$I$974</definedName>
    <definedName name="cst_shinsei_ng1_NOTIFY_USER">'DATA'!$I$970</definedName>
    <definedName name="cst_shinsei_ng1_REPORT_DATE">'DATA'!$I$978</definedName>
    <definedName name="cst_shinsei_ng1_STRUCT_NOTIFT_DATE">'DATA'!$I$981</definedName>
    <definedName name="cst_shinsei_ng1_STRUCT_NOTIFT_NO">'DATA'!$I$982</definedName>
    <definedName name="cst_shinsei_ng1_STRUCT_TUIKA_DATE">'DATA'!$I$983</definedName>
    <definedName name="cst_shinsei_ng1_STRUCTTUIKA_NOTIFT_DATE">'DATA'!$I$984</definedName>
    <definedName name="cst_shinsei_ng2_NOTIFY_CAUSE">'DATA'!$I$992</definedName>
    <definedName name="cst_shinsei_ng2_NOTIFY_DATE">'DATA'!$I$988</definedName>
    <definedName name="cst_shinsei_ng2_NOTIFY_KENSA_DATE">'DATA'!$I$990</definedName>
    <definedName name="cst_shinsei_ng2_NOTIFY_LIMIT_DATE">'DATA'!$I$991</definedName>
    <definedName name="cst_shinsei_ng2_NOTIFY_NOTE">'DATA'!$I$993</definedName>
    <definedName name="cst_shinsei_ng2_NOTIFY_USER">'DATA'!$I$989</definedName>
    <definedName name="cst_shinsei_ng2_REPORT_DATE">'DATA'!$I$996</definedName>
    <definedName name="cst_shinsei_ng3_NOTIFY_CAUSE">'DATA'!$I$1004</definedName>
    <definedName name="cst_shinsei_ng3_NOTIFY_DATE">'DATA'!$I$1000</definedName>
    <definedName name="cst_shinsei_ng3_NOTIFY_KENSA_DATE">'DATA'!$I$1002</definedName>
    <definedName name="cst_shinsei_ng3_NOTIFY_LIMIT_DATE">'DATA'!$I$1003</definedName>
    <definedName name="cst_shinsei_ng3_NOTIFY_NOTE">'DATA'!$I$1005</definedName>
    <definedName name="cst_shinsei_ng3_NOTIFY_USER">'DATA'!$I$1001</definedName>
    <definedName name="cst_shinsei_ng3_REPORT_DATE">'DATA'!$I$1008</definedName>
    <definedName name="cst_shinsei_ngx_CAUSE">'DATA'!$I$1020</definedName>
    <definedName name="cst_shinsei_ngx_NOTIFY_CAUSE">'DATA'!$I$1015</definedName>
    <definedName name="cst_shinsei_ngx_NOTIFY_DATE">'DATA'!$I$1012</definedName>
    <definedName name="cst_shinsei_ngx_NOTIFY_KENSA_DATE">'DATA'!$I$1014</definedName>
    <definedName name="cst_shinsei_ngx_NOTIFY_NOTE">'DATA'!$I$1016</definedName>
    <definedName name="cst_shinsei_ngx_NOTIFY_USER">'DATA'!$I$1013</definedName>
    <definedName name="cst_shinsei_ngx_REPORT_DATE">'DATA'!$I$1019</definedName>
    <definedName name="cst_shinsei_NUMBER">'DATA'!$I$623</definedName>
    <definedName name="cst_shinsei_NUSHI__address">'DATA'!$I$255</definedName>
    <definedName name="cst_shinsei_NUSHI_CORP">'DATA'!$I$250</definedName>
    <definedName name="cst_shinsei_NUSHI_NAME">'DATA'!$I$253</definedName>
    <definedName name="cst_shinsei_NUSHI_NAME_KANA">'DATA'!$I$251</definedName>
    <definedName name="cst_shinsei_NUSHI_POST">'DATA'!$I$252</definedName>
    <definedName name="cst_shinsei_NUSHI_POST_CODE">'DATA'!$I$254</definedName>
    <definedName name="cst_shinsei_NUSHI_TEL">'DATA'!$I$256</definedName>
    <definedName name="cst_shinsei_owner2__address">'DATA'!$I$264</definedName>
    <definedName name="cst_shinsei_owner2_CORP">'DATA'!$I$259</definedName>
    <definedName name="cst_shinsei_owner2_NAME">'DATA'!$I$262</definedName>
    <definedName name="cst_shinsei_owner2_NAME_KANA">'DATA'!$I$260</definedName>
    <definedName name="cst_shinsei_owner2_POST">'DATA'!$I$261</definedName>
    <definedName name="cst_shinsei_owner2_POST_CODE">'DATA'!$I$263</definedName>
    <definedName name="cst_shinsei_owner2_TEL">'DATA'!$I$265</definedName>
    <definedName name="cst_shinsei_owner3__address">'DATA'!$I$273</definedName>
    <definedName name="cst_shinsei_owner3_CORP">'DATA'!$I$268</definedName>
    <definedName name="cst_shinsei_owner3_NAME">'DATA'!$I$271</definedName>
    <definedName name="cst_shinsei_owner3_NAME_KANA">'DATA'!$I$269</definedName>
    <definedName name="cst_shinsei_owner3_POST">'DATA'!$I$270</definedName>
    <definedName name="cst_shinsei_owner3_POST_CODE">'DATA'!$I$272</definedName>
    <definedName name="cst_shinsei_owner3_TEL">'DATA'!$I$274</definedName>
    <definedName name="cst_shinsei_owner4__address">'DATA'!$I$282</definedName>
    <definedName name="cst_shinsei_owner4_CORP">'DATA'!$I$277</definedName>
    <definedName name="cst_shinsei_owner4_NAME">'DATA'!$I$280</definedName>
    <definedName name="cst_shinsei_owner4_NAME_KANA">'DATA'!$I$278</definedName>
    <definedName name="cst_shinsei_owner4_POST">'DATA'!$I$279</definedName>
    <definedName name="cst_shinsei_owner4_POST_CODE">'DATA'!$I$281</definedName>
    <definedName name="cst_shinsei_owner4_TEL">'DATA'!$I$283</definedName>
    <definedName name="cst_shinsei_owner5__address">'DATA'!$I$291</definedName>
    <definedName name="cst_shinsei_owner5_CORP">'DATA'!$I$286</definedName>
    <definedName name="cst_shinsei_owner5_NAME">'DATA'!$I$289</definedName>
    <definedName name="cst_shinsei_owner5_NAME_KANA">'DATA'!$I$287</definedName>
    <definedName name="cst_shinsei_owner5_POST">'DATA'!$I$288</definedName>
    <definedName name="cst_shinsei_owner5_POST_CODE">'DATA'!$I$290</definedName>
    <definedName name="cst_shinsei_owner5_TEL">'DATA'!$I$292</definedName>
    <definedName name="cst_shinsei_owner6__address">'DATA'!$I$300</definedName>
    <definedName name="cst_shinsei_owner6_CORP">'DATA'!$I$295</definedName>
    <definedName name="cst_shinsei_owner6_NAME">'DATA'!$I$298</definedName>
    <definedName name="cst_shinsei_owner6_NAME_KANA">'DATA'!$I$296</definedName>
    <definedName name="cst_shinsei_owner6_POST">'DATA'!$I$297</definedName>
    <definedName name="cst_shinsei_owner6_POST_CODE">'DATA'!$I$299</definedName>
    <definedName name="cst_shinsei_owner6_TEL">'DATA'!$I$301</definedName>
    <definedName name="cst_shinsei_owner7__address">'DATA'!$I$309</definedName>
    <definedName name="cst_shinsei_owner7_CORP">'DATA'!$I$304</definedName>
    <definedName name="cst_shinsei_owner7_NAME">'DATA'!$I$307</definedName>
    <definedName name="cst_shinsei_owner7_NAME_KANA">'DATA'!$I$305</definedName>
    <definedName name="cst_shinsei_owner7_POST">'DATA'!$I$306</definedName>
    <definedName name="cst_shinsei_owner7_POST_CODE">'DATA'!$I$308</definedName>
    <definedName name="cst_shinsei_owner7_TEL">'DATA'!$I$310</definedName>
    <definedName name="cst_shinsei_owner8__address">'DATA'!$I$318</definedName>
    <definedName name="cst_shinsei_owner8_CORP">'DATA'!$I$313</definedName>
    <definedName name="cst_shinsei_owner8_NAME">'DATA'!$I$316</definedName>
    <definedName name="cst_shinsei_owner8_NAME_KANA">'DATA'!$I$314</definedName>
    <definedName name="cst_shinsei_owner8_POST">'DATA'!$I$315</definedName>
    <definedName name="cst_shinsei_owner8_POST_CODE">'DATA'!$I$317</definedName>
    <definedName name="cst_shinsei_owner8_TEL">'DATA'!$I$319</definedName>
    <definedName name="cst_shinsei_owner9__address">'DATA'!$I$327</definedName>
    <definedName name="cst_shinsei_owner9_CORP">'DATA'!$I$322</definedName>
    <definedName name="cst_shinsei_owner9_NAME">'DATA'!$I$325</definedName>
    <definedName name="cst_shinsei_owner9_NAME_KANA">'DATA'!$I$323</definedName>
    <definedName name="cst_shinsei_owner9_POST">'DATA'!$I$324</definedName>
    <definedName name="cst_shinsei_owner9_POST_CODE">'DATA'!$I$326</definedName>
    <definedName name="cst_shinsei_owner9_TEL">'DATA'!$I$328</definedName>
    <definedName name="cst_shinsei_PREF_OFFICE_FLAG">'DATA'!$I$140</definedName>
    <definedName name="cst_shinsei_PROVO_DATE">'DATA'!$I$610</definedName>
    <definedName name="cst_shinsei_PROVO_TANTO_USER_ID">'DATA'!$I$41</definedName>
    <definedName name="cst_shinsei_REPORT_DEST_DEPART_NAME">'DATA'!$I$107</definedName>
    <definedName name="cst_shinsei_REPORT_DEST_DEPART_NAME__decision">'dDATA_cst'!$I$52</definedName>
    <definedName name="cst_shinsei_REPORT_DEST_FAX">'DATA'!$I$108</definedName>
    <definedName name="cst_shinsei_REPORT_DEST_FAX__decision">'dDATA_cst'!$I$53</definedName>
    <definedName name="cst_shinsei_REPORT_DEST_GYOUSEI_NAME">'DATA'!$I$110</definedName>
    <definedName name="cst_shinsei_REPORT_DEST_GYOUSEI_NAME__decision">'dDATA_cst'!$I$55</definedName>
    <definedName name="cst_shinsei_REPORT_DEST_KIND">'DATA'!$I$103</definedName>
    <definedName name="cst_shinsei_REPORT_DEST_NAME">'DATA'!$I$106</definedName>
    <definedName name="cst_shinsei_REPORT_DEST_NAME__decision">'dDATA_cst'!$I$51</definedName>
    <definedName name="cst_shinsei_REPORT_DEST_SYUJI_NAME">'DATA'!$I$109</definedName>
    <definedName name="cst_shinsei_REPORT_DEST_SYUJI_NAME__decision">'dDATA_cst'!$I$54</definedName>
    <definedName name="cst_shinsei_REPORT_umu">'dDATA_cst'!$I$114</definedName>
    <definedName name="cst_shinsei_REPORT_umu_Error">'dDATA_cst'!$I$116</definedName>
    <definedName name="cst_shinsei_SEKOU__address">'DATA'!$I$385</definedName>
    <definedName name="cst_shinsei_SEKOU_ADDRESS">'DATA'!$I$386</definedName>
    <definedName name="cst_shinsei_SEKOU_JIMU_NAME">'DATA'!$I$383</definedName>
    <definedName name="cst_shinsei_SEKOU_NAME">'DATA'!$I$384</definedName>
    <definedName name="cst_shinsei_SEKOU_TEL">'DATA'!$I$387</definedName>
    <definedName name="cst_shinsei_SEPTICTANK_KOUZOU_SYURUI">'DATA'!$I$486</definedName>
    <definedName name="cst_shinsei_SETSUBI_TANTO">'DATA'!$I$52</definedName>
    <definedName name="cst_shinsei_SETSUBI_TANTO2">'DATA'!$I$53</definedName>
    <definedName name="cst_shinsei_SETSUBI_TANTO3">'DATA'!$I$54</definedName>
    <definedName name="cst_shinsei_STR_SHINSEI_TOWERS">'DATA'!$I$689</definedName>
    <definedName name="cst_shinsei_STR_SHINSEI_TOWERS__set_count">'DATA'!$I$690</definedName>
    <definedName name="cst_shinsei_STR_TOTAL_CHARGE">'DATA_fee_detail'!$I$23</definedName>
    <definedName name="cst_shinsei_STRIRAI_TEKIHAN_ACCEPT_DATE">'DATA'!$I$697</definedName>
    <definedName name="cst_shinsei_STRIRAI_TEKIHAN_ACCEPT_NO">'DATA'!$I$698</definedName>
    <definedName name="cst_shinsei_strtower01_JUDGE">'DATA'!$I$692</definedName>
    <definedName name="cst_shinsei_strtuikaimposs1_STRUCT_NOTIFT_DATE">'DATA'!$I$860</definedName>
    <definedName name="cst_shinsei_strtuikaimposs1_STRUCT_NOTIFT_NO">'DATA'!$I$861</definedName>
    <definedName name="cst_shinsei_strtuikaimposs1_STRUCT_TUIKA_DATE">'DATA'!$I$862</definedName>
    <definedName name="cst_shinsei_strtuikaimposs1_STRUCTTUIKA_NOTIFT_DATE">'DATA'!$I$863</definedName>
    <definedName name="cst_shinsei_strtuikaimposs2_STRUCT_NOTIFT_DATE">'DATA'!$I$877</definedName>
    <definedName name="cst_shinsei_strtuikaimposs2_STRUCT_NOTIFT_NO">'DATA'!$I$878</definedName>
    <definedName name="cst_shinsei_strtuikaimposs2_STRUCT_TUIKA_DATE">'DATA'!$I$879</definedName>
    <definedName name="cst_shinsei_strtuikaimposs2_STRUCTTUIKA_NOTIFT_DATE">'DATA'!$I$880</definedName>
    <definedName name="cst_shinsei_strtuikaimposs3_STRUCT_NOTIFT_DATE">'DATA'!$I$894</definedName>
    <definedName name="cst_shinsei_strtuikaimposs3_STRUCT_NOTIFT_NO">'DATA'!$I$895</definedName>
    <definedName name="cst_shinsei_strtuikaimposs3_STRUCT_TUIKA_DATE">'DATA'!$I$896</definedName>
    <definedName name="cst_shinsei_strtuikaimposs3_STRUCTTUIKA_NOTIFT_DATE">'DATA'!$I$897</definedName>
    <definedName name="cst_shinsei_strtuikaimposs4_STRUCT_NOTIFT_DATE">'DATA'!$I$911</definedName>
    <definedName name="cst_shinsei_strtuikaimposs4_STRUCT_NOTIFT_NO">'DATA'!$I$912</definedName>
    <definedName name="cst_shinsei_strtuikaimposs4_STRUCT_TUIKA_DATE">'DATA'!$I$913</definedName>
    <definedName name="cst_shinsei_strtuikaimposs4_STRUCTTUIKA_NOTIFT_DATE">'DATA'!$I$914</definedName>
    <definedName name="cst_shinsei_strtuikaimposs5_STRUCT_NOTIFT_DATE">'DATA'!$I$928</definedName>
    <definedName name="cst_shinsei_strtuikaimposs5_STRUCT_NOTIFT_NO">'DATA'!$I$929</definedName>
    <definedName name="cst_shinsei_strtuikaimposs5_STRUCT_TUIKA_DATE">'DATA'!$I$930</definedName>
    <definedName name="cst_shinsei_strtuikaimposs5_STRUCTTUIKA_NOTIFT_DATE">'DATA'!$I$931</definedName>
    <definedName name="cst_shinsei_strtuikaimposs6_STRUCT_NOTIFT_DATE">'DATA'!$I$945</definedName>
    <definedName name="cst_shinsei_strtuikaimposs6_STRUCT_NOTIFT_NO">'DATA'!$I$946</definedName>
    <definedName name="cst_shinsei_strtuikaimposs6_STRUCT_TUIKA_DATE">'DATA'!$I$947</definedName>
    <definedName name="cst_shinsei_strtuikaimposs6_STRUCTTUIKA_NOTIFT_DATE">'DATA'!$I$948</definedName>
    <definedName name="cst_shinsei_strtuikaimpossx_STRUCT_NOTIFT_DATE">'DATA'!$I$961</definedName>
    <definedName name="cst_shinsei_strtuikaimpossx_STRUCT_NOTIFT_NO">'DATA'!$I$962</definedName>
    <definedName name="cst_shinsei_strtuikaimpossx_STRUCT_TUIKA_DATE">'DATA'!$I$963</definedName>
    <definedName name="cst_shinsei_strtuikaimpossx_STRUCTTUIKA_NOTIFT_DATE">'DATA'!$I$964</definedName>
    <definedName name="cst_shinsei_strtuikang1_STRUCT_NOTIFT_DATE">'DATA'!$I$981</definedName>
    <definedName name="cst_shinsei_strtuikang1_STRUCT_NOTIFT_NO">'DATA'!$I$982</definedName>
    <definedName name="cst_shinsei_strtuikang1_STRUCT_TUIKA_DATE">'DATA'!$I$983</definedName>
    <definedName name="cst_shinsei_strtuikang1_STRUCTTUIKA_NOTIFT_DATE">'DATA'!$I$984</definedName>
    <definedName name="cst_shinsei_STRUCTRESULT_NOTIFY_DATE">'DATA'!$I$705</definedName>
    <definedName name="cst_shinsei_STRUCTRESULT_NOTIFY_KOUFU_NAME">'DATA'!$I$686</definedName>
    <definedName name="cst_shinsei_STRUCTRESULT_NOTIFY_NO">'DATA'!$I$706</definedName>
    <definedName name="cst_shinsei_STRUCTRESULT_NOTIFY_RESULT">'DATA'!$I$707</definedName>
    <definedName name="cst_shinsei_STRUCTTUIKA_NOTIFT_DATE">'DATA'!$I$701</definedName>
    <definedName name="cst_shinsei_TARGET_KIND">'DATA'!$I$72</definedName>
    <definedName name="cst_shinsei_TOKKI_JIKOU">'DATA'!$I$655</definedName>
    <definedName name="cst_shinsei_UKETUKE_NO">'DATA'!$I$621</definedName>
    <definedName name="cst_shinsei_UKETUKE_NO__disp">'DATA'!$I$622</definedName>
    <definedName name="cst_shinsei_WORK_88">'DATA'!$I$514</definedName>
    <definedName name="cst_shinsei_WORK_TYPE">'DATA'!$I$533</definedName>
    <definedName name="cst_shinsei_xx_BIKO">'DATA'!$I$843</definedName>
    <definedName name="cst_shinsei_xx_CAUSE">'DATA'!$I$826</definedName>
    <definedName name="cst_shinsei_xx_NOTIFY_ANSWER_DATE">'DATA'!$I$818</definedName>
    <definedName name="cst_shinsei_xx_NOTIFY_CAUSE">'DATA'!$I$819</definedName>
    <definedName name="cst_shinsei_xx_NOTIFY_DATE">'DATA'!$I$813</definedName>
    <definedName name="cst_shinsei_xx_NOTIFY_DOCNO">'DATA'!$I$822</definedName>
    <definedName name="cst_shinsei_xx_NOTIFY_KENSA_DATE">'DATA'!$I$816</definedName>
    <definedName name="cst_shinsei_xx_NOTIFY_LIMIT_DATE">'DATA'!$I$817</definedName>
    <definedName name="cst_shinsei_xx_NOTIFY_NOTE">'DATA'!$I$820</definedName>
    <definedName name="cst_shinsei_xx_NOTIFY_SOUFU_SAKI">'DATA'!$I$821</definedName>
    <definedName name="cst_shinsei_xx_NOTIFY_TANTOU">'DATA'!$I$814</definedName>
    <definedName name="cst_shinsei_xx_NOTIFY_USER">'DATA'!$I$815</definedName>
    <definedName name="cst_shinsei_xx_REPORT_DATE">'DATA'!$I$825</definedName>
    <definedName name="cst_shinsei_xx_STRUCT_HENKOU_LIMIT_DATE">'DATA'!$I$840</definedName>
    <definedName name="cst_shinsei_xx_STRUCT_HENKOU_NOTIFT_DATE">'DATA'!$I$839</definedName>
    <definedName name="cst_shinsei_xx_STRUCT_NOTIFT_BIKO">'DATA'!$I$833</definedName>
    <definedName name="cst_shinsei_xx_STRUCT_NOTIFT_DATE">'DATA'!$I$830</definedName>
    <definedName name="cst_shinsei_xx_STRUCT_NOTIFT_DOCNO">'DATA'!$I$835</definedName>
    <definedName name="cst_shinsei_xx_STRUCT_NOTIFT_NO">'DATA'!$I$831</definedName>
    <definedName name="cst_shinsei_xx_STRUCT_NOTIFT_TOUTYAKU_MEMO">'DATA'!$I$832</definedName>
    <definedName name="cst_shinsei_xx_STRUCT_NOTIFT_TUIKA_DATE">'DATA'!$I$834</definedName>
    <definedName name="cst_shinsei_xx_STRUCT_NOTIFT_USE">'DATA'!$I$829</definedName>
    <definedName name="cst_shinsei_xx_STRUCT_TUIKA_DOCNO">'DATA'!$I$841</definedName>
    <definedName name="cst_shinsei_xx_STRUCT_TUIKA_NOTIFT_DATE">'DATA'!$I$838</definedName>
    <definedName name="cst_SoufuSaki_City_Fax">'DATA'!$H$112</definedName>
    <definedName name="cst_SoufuSaki_City_Gaiyou">'DATA'!$H$113</definedName>
    <definedName name="cst_SoufuSaki_Jimu1">'DATA'!$H$118</definedName>
    <definedName name="cst_SoufuSaki_Jimu2">'DATA'!$H$124</definedName>
    <definedName name="cst_STRUCTNOTIFT_ctrl">'DATA'!$I$809</definedName>
    <definedName name="cst_Suit_config_PRESENTER_CORP">'dDATA_cst'!$I$7</definedName>
    <definedName name="cst_Suit_config_PRESENTER_DAIHYOSYA">'dDATA_cst'!$I$8</definedName>
    <definedName name="cst_TARGET_KIND_Keika">'dDATA_cst'!$I$139</definedName>
    <definedName name="cst_UKETUKE_y">'dDATA_cst'!$I$137</definedName>
    <definedName name="cst_Wakayama">'dDATA_cst'!$I$121</definedName>
    <definedName name="data_values_fee_detail">'DATA_fee_detail'!$F$3:$G$384</definedName>
    <definedName name="data_values_NEW">'DATA'!$F$3:$G$1267</definedName>
    <definedName name="kakaru_shinsei_ACCEPT_DATE">'DATA'!$G$661</definedName>
    <definedName name="kakaru_shinsei_HIKIUKE_DATE">'DATA'!$G$662</definedName>
    <definedName name="kakaru_shinsei_INSPECTION_TYPE">'DATA'!$G$671</definedName>
    <definedName name="kakaru_shinsei_ISSUE_DATE">'DATA'!$G$672</definedName>
    <definedName name="kakaru_shinsei_ISSUE_KOUFU_NAME">'DATA'!$G$675</definedName>
    <definedName name="kakaru_shinsei_ISSUE_NO">'DATA'!$G$674</definedName>
    <definedName name="kakaru_shinsei_UKETUKE_NO">'DATA'!$G$663</definedName>
    <definedName name="loginuser_LOGIN_ID">'DATA'!$G$65</definedName>
    <definedName name="loginuser_NAME">'DATA'!$G$66</definedName>
    <definedName name="my_ip">'DATA'!$G$62</definedName>
    <definedName name="myoffice_OFFICE_NO">'DATA'!$G$63</definedName>
    <definedName name="office_ACCOUNT_NO">'DATA'!$G$37</definedName>
    <definedName name="office_ACCOUNT_TYPE">'DATA'!$G$36</definedName>
    <definedName name="office_ADDRESS">'DATA'!$G$28</definedName>
    <definedName name="office_ADDRESS2">'DATA'!$G$29</definedName>
    <definedName name="office_BANK_BRANCH_NAME">'DATA'!$G$35</definedName>
    <definedName name="office_BANK_NAME">'DATA'!$G$34</definedName>
    <definedName name="office_COMPANY_NAME">'DATA'!$G$25</definedName>
    <definedName name="office_FAX">'DATA'!$G$32</definedName>
    <definedName name="office_OFFICE_NAME">'DATA'!$G$26</definedName>
    <definedName name="office_POST_CODE">'DATA'!$G$27</definedName>
    <definedName name="office_TEL">'DATA'!$G$31</definedName>
    <definedName name="owner_name1">'DATA'!$G$195</definedName>
    <definedName name="owner_name2">'DATA'!$G$196</definedName>
    <definedName name="owner_name3">'DATA'!$G$197</definedName>
    <definedName name="owner_name4">'DATA'!$G$198</definedName>
    <definedName name="owner_name5">'DATA'!$G$199</definedName>
    <definedName name="owner_name6">'DATA'!$G$200</definedName>
    <definedName name="p2_shinsei_HEN_SUMI_KOUFU_DATE">'DATA'!$G$799</definedName>
    <definedName name="p2_shinsei_HEN_SUMI_KOUFU_NAME">'DATA'!$G$796</definedName>
    <definedName name="p2_shinsei_HEN_SUMI_NO">'DATA'!$G$797</definedName>
    <definedName name="p2_shinsei_ISSUE_DATE">'DATA'!$G$791</definedName>
    <definedName name="p2_shinsei_ISSUE_NO">'DATA'!$G$789</definedName>
    <definedName name="p2_shinsei_KAKUNINZUMI_KENSAIN">'DATA'!$G$788</definedName>
    <definedName name="_xlnm.Print_Area" localSheetId="10">'一般用'!$A$1:$L$39</definedName>
    <definedName name="prule_cells">'dINFOMATION'!$A$4:$HF$39</definedName>
    <definedName name="prule_printer">'dINFOMATION'!$L$2</definedName>
    <definedName name="prule_printer_default">'dINFOMATION'!$L$5</definedName>
    <definedName name="prule_sheetname">'dINFOMATION'!$B$2</definedName>
    <definedName name="shinsei_ACCEPT_DATE">'DATA'!$G$612</definedName>
    <definedName name="shinsei_ACCEPT_TOKKI_JIKOU">'DATA'!$G$494</definedName>
    <definedName name="shinsei_APPLICANT__address">'DATA'!$G$244</definedName>
    <definedName name="shinsei_APPLICANT_CORP">'DATA'!$G$239</definedName>
    <definedName name="shinsei_APPLICANT_NAME">'DATA'!$G$242</definedName>
    <definedName name="shinsei_APPLICANT_NAME_KANA">'DATA'!$G$240</definedName>
    <definedName name="shinsei_APPLICANT_POST">'DATA'!$G$241</definedName>
    <definedName name="shinsei_APPLICANT_TEL">'DATA'!$G$245</definedName>
    <definedName name="shinsei_APPLICANT_ZIP">'DATA'!$G$243</definedName>
    <definedName name="shinsei_BILL_NAME">'DATA'!$G$450</definedName>
    <definedName name="shinsei_build_address">'DATA'!$G$396</definedName>
    <definedName name="shinsei_build_BETU_KIKAN_FLAG">'DATA'!$G$178</definedName>
    <definedName name="shinsei_build_BILL_SHINSEI_COUNT">'DATA'!$G$405</definedName>
    <definedName name="shinsei_build_DOURO_SIKITI_HASSO_DATE">'DATA'!$G$491</definedName>
    <definedName name="shinsei_build_GENTI_CYOUSA_DATE">'DATA'!$G$169</definedName>
    <definedName name="shinsei_build_HIKIUKE_MIKOMI_DATE">'DATA'!$G$175</definedName>
    <definedName name="shinsei_build_ISYOU_SHINSA_COMMENT">'DATA'!$G$180</definedName>
    <definedName name="shinsei_build_ISYOU_SYUURYOU_DATE">'DATA'!$G$174</definedName>
    <definedName name="shinsei_build_JYUKYO__address">'DATA'!$G$397</definedName>
    <definedName name="shinsei_build_KAISU_TIJYOU_SHINSEI">'DATA'!$G$407</definedName>
    <definedName name="shinsei_build_KAISU_TIKA_SHINSEI__zero">'DATA'!$G$408</definedName>
    <definedName name="shinsei_build_KARI_UKETUKE_KIBOU_DATE">'DATA'!$G$171</definedName>
    <definedName name="shinsei_build_KOUJI_DAI_MOYOUGAE">'DATA'!$G$424</definedName>
    <definedName name="shinsei_build_KOUJI_DAI_SYUUZEN">'DATA'!$G$423</definedName>
    <definedName name="shinsei_build_KOUJI_ITEN">'DATA'!$G$421</definedName>
    <definedName name="shinsei_build_KOUJI_KAITIKU">'DATA'!$G$420</definedName>
    <definedName name="shinsei_build_KOUJI_SINTIKU">'DATA'!$G$418</definedName>
    <definedName name="shinsei_build_KOUJI_YOUTOHENKOU">'DATA'!$G$422</definedName>
    <definedName name="shinsei_build_KOUJI_ZOUTIKU">'DATA'!$G$419</definedName>
    <definedName name="shinsei_build_kouzou">'DATA'!$G$448</definedName>
    <definedName name="shinsei_build_KOUZOU_SHINSA_COMMENT">'DATA'!$G$181</definedName>
    <definedName name="shinsei_build_KOUZOU_SYUURYOU_DATE">'DATA'!$G$173</definedName>
    <definedName name="shinsei_BUILD_NAME_COMP">'DATA'!$G$560</definedName>
    <definedName name="shinsei_build_NOBE_MENSEKI_BILL_SHINSEI">'DATA'!$G$401</definedName>
    <definedName name="shinsei_build_NOBE_MENSEKI_BILL_SHINSEI_IGAI__zero">'DATA'!$G$402</definedName>
    <definedName name="shinsei_build_NOBE_MENSEKI_BILL_SHINSEI_TOTAL">'DATA'!$G$404</definedName>
    <definedName name="shinsei_build_SHIKITI_MENSEKI_1_TOTAL">'DATA'!$G$399</definedName>
    <definedName name="shinsei_build_STAT_HOU6_1">'DATA'!$G$493</definedName>
    <definedName name="shinsei_build_STAT_SEPTICTANK_CAPACITY">'DATA'!$G$481</definedName>
    <definedName name="shinsei_build_STAT_SEPTICTANK_SYORI">'DATA'!$G$480</definedName>
    <definedName name="shinsei_build_YOUTO">'DATA'!$G$412</definedName>
    <definedName name="shinsei_build_YOUTO_CODE">'DATA'!$G$411</definedName>
    <definedName name="shinsei_build_YOUTO_PRINT">'DATA'!$G$413</definedName>
    <definedName name="shinsei_build_ZUMISYOU_KIBOU_DATE">'DATA'!$G$177</definedName>
    <definedName name="shinsei_BUILDSHINSEI_HOU6">'DATA'!$G$542</definedName>
    <definedName name="shinsei_BUILDSHINSEI_ISSUE_DATE">'DATA'!$G$541</definedName>
    <definedName name="shinsei_BUILDSHINSEI_ISSUE_NO">'DATA'!$G$539</definedName>
    <definedName name="shinsei_BUILDSHINSEI_ISSUE_NO__add_disp">'DATA'!$I$540</definedName>
    <definedName name="shinsei_CHARGE_ID__BASIC_CHARGE">'DATA_fee_detail'!$G$28</definedName>
    <definedName name="shinsei_CHARGE_ID__bill__date">'DATA_fee_detail'!$G$10</definedName>
    <definedName name="shinsei_CHARGE_ID__BILL_TYPE">'DATA_fee_detail'!$G$9</definedName>
    <definedName name="shinsei_CHARGE_ID__cust__address">'DATA_fee_detail'!$G$17</definedName>
    <definedName name="shinsei_CHARGE_ID__cust__caption">'DATA_fee_detail'!$G$18</definedName>
    <definedName name="shinsei_CHARGE_ID__cust__tel">'DATA_fee_detail'!$G$19</definedName>
    <definedName name="shinsei_CHARGE_ID__cust__zip">'DATA_fee_detail'!$G$16</definedName>
    <definedName name="shinsei_CHARGE_ID__DENPYOU_NO">'DATA_fee_detail'!$G$14</definedName>
    <definedName name="shinsei_CHARGE_ID__income01_INCOME_DATE">'DATA_fee_detail'!$G$91</definedName>
    <definedName name="shinsei_CHARGE_ID__income01_INCOME_MONEY">'DATA_fee_detail'!$G$94</definedName>
    <definedName name="shinsei_CHARGE_ID__income02_INCOME_DATE">'DATA_fee_detail'!$G$92</definedName>
    <definedName name="shinsei_CHARGE_ID__income02_INCOME_MONEY">'DATA_fee_detail'!$G$95</definedName>
    <definedName name="shinsei_CHARGE_ID__income03_INCOME_DATE">'DATA_fee_detail'!$G$93</definedName>
    <definedName name="shinsei_CHARGE_ID__income03_INCOME_MONEY">'DATA_fee_detail'!$G$96</definedName>
    <definedName name="shinsei_CHARGE_ID__meisai01_ITEM_NAME">'DATA_fee_detail'!$G$35</definedName>
    <definedName name="shinsei_CHARGE_ID__meisai01_SURYOU">'DATA_fee_detail'!$G$36</definedName>
    <definedName name="shinsei_CHARGE_ID__meisai01_SYOUKEI">'DATA_fee_detail'!$G$38</definedName>
    <definedName name="shinsei_CHARGE_ID__meisai01_TANKA">'DATA_fee_detail'!$G$37</definedName>
    <definedName name="shinsei_CHARGE_ID__meisai02_ITEM_NAME">'DATA_fee_detail'!$G$40</definedName>
    <definedName name="shinsei_CHARGE_ID__meisai02_SURYOU">'DATA_fee_detail'!$G$41</definedName>
    <definedName name="shinsei_CHARGE_ID__meisai02_SYOUKEI">'DATA_fee_detail'!$G$43</definedName>
    <definedName name="shinsei_CHARGE_ID__meisai02_TANKA">'DATA_fee_detail'!$G$42</definedName>
    <definedName name="shinsei_CHARGE_ID__meisai03_ITEM_NAME">'DATA_fee_detail'!$G$45</definedName>
    <definedName name="shinsei_CHARGE_ID__meisai03_SURYOU">'DATA_fee_detail'!$G$46</definedName>
    <definedName name="shinsei_CHARGE_ID__meisai03_SYOUKEI">'DATA_fee_detail'!$G$48</definedName>
    <definedName name="shinsei_CHARGE_ID__meisai03_TANKA">'DATA_fee_detail'!$G$47</definedName>
    <definedName name="shinsei_CHARGE_ID__meisai04_ITEM_NAME">'DATA_fee_detail'!$G$50</definedName>
    <definedName name="shinsei_CHARGE_ID__meisai04_SURYOU">'DATA_fee_detail'!$G$51</definedName>
    <definedName name="shinsei_CHARGE_ID__meisai04_SYOUKEI">'DATA_fee_detail'!$G$53</definedName>
    <definedName name="shinsei_CHARGE_ID__meisai04_TANKA">'DATA_fee_detail'!$G$52</definedName>
    <definedName name="shinsei_CHARGE_ID__meisai05_ITEM_NAME">'DATA_fee_detail'!$G$55</definedName>
    <definedName name="shinsei_CHARGE_ID__meisai05_SURYOU">'DATA_fee_detail'!$G$56</definedName>
    <definedName name="shinsei_CHARGE_ID__meisai05_SYOUKEI">'DATA_fee_detail'!$G$58</definedName>
    <definedName name="shinsei_CHARGE_ID__meisai05_TANKA">'DATA_fee_detail'!$G$57</definedName>
    <definedName name="shinsei_CHARGE_ID__meisai06_ITEM_NAME">'DATA_fee_detail'!$G$60</definedName>
    <definedName name="shinsei_CHARGE_ID__meisai06_SURYOU">'DATA_fee_detail'!$G$61</definedName>
    <definedName name="shinsei_CHARGE_ID__meisai06_SYOUKEI">'DATA_fee_detail'!$G$63</definedName>
    <definedName name="shinsei_CHARGE_ID__meisai06_TANKA">'DATA_fee_detail'!$G$62</definedName>
    <definedName name="shinsei_CHARGE_ID__meisai07_ITEM_NAME">'DATA_fee_detail'!$G$65</definedName>
    <definedName name="shinsei_CHARGE_ID__meisai07_SURYOU">'DATA_fee_detail'!$G$66</definedName>
    <definedName name="shinsei_CHARGE_ID__meisai07_SYOUKEI">'DATA_fee_detail'!$G$68</definedName>
    <definedName name="shinsei_CHARGE_ID__meisai07_TANKA">'DATA_fee_detail'!$G$67</definedName>
    <definedName name="shinsei_CHARGE_ID__meisai08_ITEM_NAME">'DATA_fee_detail'!$G$70</definedName>
    <definedName name="shinsei_CHARGE_ID__meisai08_SURYOU">'DATA_fee_detail'!$G$71</definedName>
    <definedName name="shinsei_CHARGE_ID__meisai08_SYOUKEI">'DATA_fee_detail'!$G$73</definedName>
    <definedName name="shinsei_CHARGE_ID__meisai08_TANKA">'DATA_fee_detail'!$G$72</definedName>
    <definedName name="shinsei_CHARGE_ID__meisai09_ITEM_NAME">'DATA_fee_detail'!$G$75</definedName>
    <definedName name="shinsei_CHARGE_ID__meisai09_SURYOU">'DATA_fee_detail'!$G$76</definedName>
    <definedName name="shinsei_CHARGE_ID__meisai09_SYOUKEI">'DATA_fee_detail'!$G$78</definedName>
    <definedName name="shinsei_CHARGE_ID__meisai09_TANKA">'DATA_fee_detail'!$G$77</definedName>
    <definedName name="shinsei_CHARGE_ID__meisai10_ITEM_NAME">'DATA_fee_detail'!$G$80</definedName>
    <definedName name="shinsei_CHARGE_ID__meisai10_SURYOU">'DATA_fee_detail'!$G$81</definedName>
    <definedName name="shinsei_CHARGE_ID__meisai10_SYOUKEI">'DATA_fee_detail'!$G$83</definedName>
    <definedName name="shinsei_CHARGE_ID__meisai10_TANKA">'DATA_fee_detail'!$G$82</definedName>
    <definedName name="shinsei_CHARGE_ID__meisai11_ITEM_NAME">'DATA_fee_detail'!$G$85</definedName>
    <definedName name="shinsei_CHARGE_ID__meisai11_SURYOU">'DATA_fee_detail'!$G$86</definedName>
    <definedName name="shinsei_CHARGE_ID__meisai11_SYOUKEI">'DATA_fee_detail'!$G$88</definedName>
    <definedName name="shinsei_CHARGE_ID__meisai11_TANKA">'DATA_fee_detail'!$G$87</definedName>
    <definedName name="shinsei_CHARGE_ID__NOTE">'DATA_fee_detail'!$G$20</definedName>
    <definedName name="shinsei_CHARGE_ID__RECEIPT_DATE">'DATA_fee_detail'!$G$11</definedName>
    <definedName name="shinsei_CHARGE_ID__RECEIPT_PRICE">'DATA_fee_detail'!$G$21</definedName>
    <definedName name="shinsei_CHARGE_ID__RECEIPT_TO">'DATA_fee_detail'!$G$12</definedName>
    <definedName name="shinsei_CHARGE_ID__TIIKIWARIMASHI_CHARGE">'DATA_fee_detail'!$G$33</definedName>
    <definedName name="shinsei_CHARGE_ID__TIIKIWARIMASHI_SURYOU">'DATA_fee_detail'!$G$31</definedName>
    <definedName name="shinsei_CHARGE_ID__TIIKIWARIMASHI_TANKA">'DATA_fee_detail'!$G$32</definedName>
    <definedName name="shinsei_DAIRI__address">'DATA'!$G$378</definedName>
    <definedName name="shinsei_DAIRI_FAX">'DATA'!$G$380</definedName>
    <definedName name="shinsei_DAIRI_JIMU_NAME">'DATA'!$G$375</definedName>
    <definedName name="shinsei_DAIRI_NAME">'DATA'!$G$376</definedName>
    <definedName name="shinsei_DAIRI_POST_CODE">'DATA'!$G$377</definedName>
    <definedName name="shinsei_DAIRI_TEL">'DATA'!$G$379</definedName>
    <definedName name="shinsei_ev_EV_BILL_NAME">'DATA'!$G$499</definedName>
    <definedName name="shinsei_ev_EV_BILL_YOUTO">'DATA'!$G$500</definedName>
    <definedName name="shinsei_ev_EV_COUNT">'DATA'!$G$509</definedName>
    <definedName name="shinsei_ev_EV_SEKISAI">'DATA'!$G$503</definedName>
    <definedName name="shinsei_ev_EV_SONOTA">'DATA'!$G$507</definedName>
    <definedName name="shinsei_ev_EV_SPEED">'DATA'!$G$506</definedName>
    <definedName name="shinsei_ev_EV_SYUBETU">'DATA'!$G$501</definedName>
    <definedName name="shinsei_ev_EV_TEIIN">'DATA'!$G$504</definedName>
    <definedName name="shinsei_ev_EV_YOUTO">'DATA'!$G$502</definedName>
    <definedName name="shinsei_ev_KOUSAKU_KOUJI_KAITIKU">'DATA'!$G$428</definedName>
    <definedName name="shinsei_ev_KOUSAKU_KOUJI_SHINTIKU">'DATA'!$G$426</definedName>
    <definedName name="shinsei_ev_KOUSAKU_KOUJI_SONOTA">'DATA'!$G$429</definedName>
    <definedName name="shinsei_ev_KOUSAKU_KOUJI_ZOUTIKU">'DATA'!$G$427</definedName>
    <definedName name="shinsei_ev_KOUSAKU_KOUZOU">'DATA'!$G$525</definedName>
    <definedName name="shinsei_ev_KOUSAKU_SONOTA">'DATA'!$G$526</definedName>
    <definedName name="shinsei_ev_KOUSAKU_SYURUI">'DATA'!$G$518</definedName>
    <definedName name="shinsei_ev_KOUSAKU_SYURUI_CODE">'DATA'!$G$517</definedName>
    <definedName name="shinsei_ev_KOUSAKU_TAKASA">'DATA'!$G$519</definedName>
    <definedName name="shinsei_ev_KOUSAKU_TAKASA_BIKO">'DATA'!$G$524</definedName>
    <definedName name="shinsei_ev_KOUSAKU_TAKASA_MAX">'DATA'!$G$520</definedName>
    <definedName name="shinsei_ev_KOUSAKU882_YOUTO">'DATA'!$G$528</definedName>
    <definedName name="shinsei_ev_TIKUZOUMENSEKI_IGAI">'DATA'!$G$531</definedName>
    <definedName name="shinsei_ev_TIKUZOUMENSEKI_SHINSEI">'DATA'!$G$529</definedName>
    <definedName name="shinsei_ev_TIKUZOUMENSEKI_TOTAL">'DATA'!$G$532</definedName>
    <definedName name="shinsei_EV_TYPE">'DATA'!$G$508</definedName>
    <definedName name="shinsei_ev_WORKCOUNT_SHINSEI">'DATA'!$G$515</definedName>
    <definedName name="shinsei_final_KAN_KANRYOU_YOTEI_DATE">'DATA'!$G$456</definedName>
    <definedName name="shinsei_final_KOUJI_DAI_MOYOUGAE">'DATA'!$G$444</definedName>
    <definedName name="shinsei_final_KOUJI_DAI_SYUUZEN">'DATA'!$G$443</definedName>
    <definedName name="shinsei_final_KOUJI_ITEN">'DATA'!$G$442</definedName>
    <definedName name="shinsei_final_KOUJI_KAITIKU">'DATA'!$G$441</definedName>
    <definedName name="shinsei_final_KOUJI_SETUBISETTI">'DATA'!$G$445</definedName>
    <definedName name="shinsei_final_KOUJI_SINTIKU">'DATA'!$G$439</definedName>
    <definedName name="shinsei_final_KOUJI_ZOUTIKU">'DATA'!$G$440</definedName>
    <definedName name="shinsei_FIRE_NOTIFY_DATE">'DATA'!$G$471</definedName>
    <definedName name="shinsei_FIRE_NOTIFY_SUBMIT_KIND">'DATA'!$G$466</definedName>
    <definedName name="shinsei_FIRE_STATION_DEPART_NAME">'DATA'!$G$465</definedName>
    <definedName name="shinsei_FIRE_STATION_NAME">'DATA'!$G$464</definedName>
    <definedName name="shinsei_FIRE_SUBMIT_DATE">'DATA'!$G$468</definedName>
    <definedName name="shinsei_FLAT35_FLAG">'DATA'!$G$148</definedName>
    <definedName name="shinsei_FLAT35_FLAG__umu">'DATA'!$G$149</definedName>
    <definedName name="shinsei_HEALTH_CENTER_DEPART_NAME">'DATA'!$G$478</definedName>
    <definedName name="shinsei_HEALTH_CENTER_NAME">'DATA'!$G$477</definedName>
    <definedName name="shinsei_HEALTH_NOTIFY_DATE">'DATA'!$G$484</definedName>
    <definedName name="shinsei_HIKIUKE_DATE">'DATA'!$G$614</definedName>
    <definedName name="shinsei_HIKIUKE_KAKU_KOUFU_YOTEI_DATE">'DATA'!$G$187</definedName>
    <definedName name="shinsei_HIKIUKE_TANTO">'DATA'!$G$42</definedName>
    <definedName name="shinsei_HIKIUKE_TUUTI_DATE">'DATA'!$G$618</definedName>
    <definedName name="shinsei_HIKIUKE_TUUTI_SAKI">'DATA'!$G$136</definedName>
    <definedName name="shinsei_hosei1_ANSWER_DATE">'DATA'!$G$1031</definedName>
    <definedName name="shinsei_hosei1_BIKO">'DATA'!$G$1047</definedName>
    <definedName name="shinsei_hosei1_KENSAIN_USER_ID">'DATA'!$G$1029</definedName>
    <definedName name="shinsei_hosei1_LIMIT_DATE">'DATA'!$G$1030</definedName>
    <definedName name="shinsei_hosei1_NOTIFY_DATE">'DATA'!$G$1027</definedName>
    <definedName name="shinsei_hosei1_NOTIFY_DOCNO">'DATA'!$G$1028</definedName>
    <definedName name="shinsei_hosei1_NOTIFY_NOTE">'DATA'!$G$1032</definedName>
    <definedName name="shinsei_hosei1_NOTIFY_SOUFU_SAKI">'DATA'!$G$1033</definedName>
    <definedName name="shinsei_hosei1_STRUCTNOTIFT_BIKO">'DATA'!$G$1039</definedName>
    <definedName name="shinsei_hosei1_STRUCTNOTIFT_DOCNO">'DATA'!$G$1041</definedName>
    <definedName name="shinsei_hosei1_STRUCTNOTIFT_HENKOU_LIMIT_DATE">'DATA'!$G$1046</definedName>
    <definedName name="shinsei_hosei1_STRUCTNOTIFT_HENKOU_NOTIFT_DATE">'DATA'!$G$1044</definedName>
    <definedName name="shinsei_hosei1_STRUCTNOTIFT_NOTIFT_DATE">'DATA'!$G$1036</definedName>
    <definedName name="shinsei_hosei1_STRUCTNOTIFT_NOTIFT_NO">'DATA'!$G$1037</definedName>
    <definedName name="shinsei_hosei1_STRUCTNOTIFT_TOUTYAKU_MEMO">'DATA'!$G$1038</definedName>
    <definedName name="shinsei_hosei1_STRUCTNOTIFT_TUIKA_DATE">'DATA'!$G$1040</definedName>
    <definedName name="shinsei_hosei1_STRUCTNOTIFT_USE">'DATA'!$G$1035</definedName>
    <definedName name="shinsei_hosei1_STRUCTTUIKA_DOCNO">'DATA'!$G$1045</definedName>
    <definedName name="shinsei_hosei1_STRUCTTUIKA_NOTIFT_DATE">'DATA'!$G$1043</definedName>
    <definedName name="shinsei_hosei10_ANSWER_DATE">'DATA'!$G$1247</definedName>
    <definedName name="shinsei_hosei10_BIKO">'DATA'!$G$1263</definedName>
    <definedName name="shinsei_hosei10_KENSAIN_USER_ID">'DATA'!$G$1245</definedName>
    <definedName name="shinsei_hosei10_LIMIT_DATE">'DATA'!$G$1246</definedName>
    <definedName name="shinsei_hosei10_NOTIFY_DATE">'DATA'!$G$1243</definedName>
    <definedName name="shinsei_hosei10_NOTIFY_DOCNO">'DATA'!$G$1244</definedName>
    <definedName name="shinsei_hosei10_NOTIFY_NOTE">'DATA'!$G$1248</definedName>
    <definedName name="shinsei_hosei10_NOTIFY_SOUFU_SAKI">'DATA'!$G$1249</definedName>
    <definedName name="shinsei_hosei10_STRUCTNOTIFT_BIKO">'DATA'!$G$1255</definedName>
    <definedName name="shinsei_hosei10_STRUCTNOTIFT_DOCNO">'DATA'!$G$1257</definedName>
    <definedName name="shinsei_hosei10_STRUCTNOTIFT_HENKOU_LIMIT_DATE">'DATA'!$G$1262</definedName>
    <definedName name="shinsei_hosei10_STRUCTNOTIFT_HENKOU_NOTIFT_DATE">'DATA'!$G$1260</definedName>
    <definedName name="shinsei_hosei10_STRUCTNOTIFT_NOTIFT_DATE">'DATA'!$G$1252</definedName>
    <definedName name="shinsei_hosei10_STRUCTNOTIFT_NOTIFT_NO">'DATA'!$G$1253</definedName>
    <definedName name="shinsei_hosei10_STRUCTNOTIFT_TOUTYAKU_MEMO">'DATA'!$G$1254</definedName>
    <definedName name="shinsei_hosei10_STRUCTNOTIFT_TUIKA_DATE">'DATA'!$G$1256</definedName>
    <definedName name="shinsei_hosei10_STRUCTNOTIFT_USE">'DATA'!$G$1251</definedName>
    <definedName name="shinsei_hosei10_STRUCTTUIKA_DOCNO">'DATA'!$G$1261</definedName>
    <definedName name="shinsei_hosei10_STRUCTTUIKA_NOTIFT_DATE">'DATA'!$G$1259</definedName>
    <definedName name="shinsei_hosei2_ANSWER_DATE">'DATA'!$G$1055</definedName>
    <definedName name="shinsei_hosei2_BIKO">'DATA'!$G$1071</definedName>
    <definedName name="shinsei_hosei2_KENSAIN_USER_ID">'DATA'!$G$1053</definedName>
    <definedName name="shinsei_hosei2_LIMIT_DATE">'DATA'!$G$1054</definedName>
    <definedName name="shinsei_hosei2_NOTIFY_DATE">'DATA'!$G$1051</definedName>
    <definedName name="shinsei_hosei2_NOTIFY_DOCNO">'DATA'!$G$1052</definedName>
    <definedName name="shinsei_hosei2_NOTIFY_NOTE">'DATA'!$G$1056</definedName>
    <definedName name="shinsei_hosei2_NOTIFY_SOUFU_SAKI">'DATA'!$G$1057</definedName>
    <definedName name="shinsei_hosei2_STRUCTNOTIFT_BIKO">'DATA'!$G$1063</definedName>
    <definedName name="shinsei_hosei2_STRUCTNOTIFT_DOCNO">'DATA'!$G$1065</definedName>
    <definedName name="shinsei_hosei2_STRUCTNOTIFT_HENKOU_LIMIT_DATE">'DATA'!$G$1070</definedName>
    <definedName name="shinsei_hosei2_STRUCTNOTIFT_HENKOU_NOTIFT_DATE">'DATA'!$G$1068</definedName>
    <definedName name="shinsei_hosei2_STRUCTNOTIFT_NOTIFT_DATE">'DATA'!$G$1060</definedName>
    <definedName name="shinsei_hosei2_STRUCTNOTIFT_NOTIFT_NO">'DATA'!$G$1061</definedName>
    <definedName name="shinsei_hosei2_STRUCTNOTIFT_TOUTYAKU_MEMO">'DATA'!$G$1062</definedName>
    <definedName name="shinsei_hosei2_STRUCTNOTIFT_TUIKA_DATE">'DATA'!$G$1064</definedName>
    <definedName name="shinsei_hosei2_STRUCTNOTIFT_USE">'DATA'!$G$1059</definedName>
    <definedName name="shinsei_hosei2_STRUCTTUIKA_DOCNO">'DATA'!$G$1069</definedName>
    <definedName name="shinsei_hosei2_STRUCTTUIKA_NOTIFT_DATE">'DATA'!$G$1067</definedName>
    <definedName name="shinsei_hosei3_ANSWER_DATE">'DATA'!$G$1079</definedName>
    <definedName name="shinsei_hosei3_BIKO">'DATA'!$G$1095</definedName>
    <definedName name="shinsei_hosei3_KENSAIN_USER_ID">'DATA'!$G$1077</definedName>
    <definedName name="shinsei_hosei3_LIMIT_DATE">'DATA'!$G$1078</definedName>
    <definedName name="shinsei_hosei3_NOTIFY_DATE">'DATA'!$G$1075</definedName>
    <definedName name="shinsei_hosei3_NOTIFY_DOCNO">'DATA'!$G$1076</definedName>
    <definedName name="shinsei_hosei3_NOTIFY_NOTE">'DATA'!$G$1080</definedName>
    <definedName name="shinsei_hosei3_NOTIFY_SOUFU_SAKI">'DATA'!$G$1081</definedName>
    <definedName name="shinsei_hosei3_STRUCTNOTIFT_BIKO">'DATA'!$G$1087</definedName>
    <definedName name="shinsei_hosei3_STRUCTNOTIFT_DOCNO">'DATA'!$G$1089</definedName>
    <definedName name="shinsei_hosei3_STRUCTNOTIFT_HENKOU_LIMIT_DATE">'DATA'!$G$1094</definedName>
    <definedName name="shinsei_hosei3_STRUCTNOTIFT_HENKOU_NOTIFT_DATE">'DATA'!$G$1092</definedName>
    <definedName name="shinsei_hosei3_STRUCTNOTIFT_NOTIFT_DATE">'DATA'!$G$1084</definedName>
    <definedName name="shinsei_hosei3_STRUCTNOTIFT_NOTIFT_NO">'DATA'!$G$1085</definedName>
    <definedName name="shinsei_hosei3_STRUCTNOTIFT_TOUTYAKU_MEMO">'DATA'!$G$1086</definedName>
    <definedName name="shinsei_hosei3_STRUCTNOTIFT_TUIKA_DATE">'DATA'!$G$1088</definedName>
    <definedName name="shinsei_hosei3_STRUCTNOTIFT_USE">'DATA'!$G$1083</definedName>
    <definedName name="shinsei_hosei3_STRUCTTUIKA_DOCNO">'DATA'!$G$1093</definedName>
    <definedName name="shinsei_hosei3_STRUCTTUIKA_NOTIFT_DATE">'DATA'!$G$1091</definedName>
    <definedName name="shinsei_hosei4_ANSWER_DATE">'DATA'!$G$1103</definedName>
    <definedName name="shinsei_hosei4_BIKO">'DATA'!$G$1119</definedName>
    <definedName name="shinsei_hosei4_KENSAIN_USER_ID">'DATA'!$G$1101</definedName>
    <definedName name="shinsei_hosei4_LIMIT_DATE">'DATA'!$G$1102</definedName>
    <definedName name="shinsei_hosei4_NOTIFY_DATE">'DATA'!$G$1099</definedName>
    <definedName name="shinsei_hosei4_NOTIFY_DOCNO">'DATA'!$G$1100</definedName>
    <definedName name="shinsei_hosei4_NOTIFY_NOTE">'DATA'!$G$1104</definedName>
    <definedName name="shinsei_hosei4_NOTIFY_SOUFU_SAKI">'DATA'!$G$1105</definedName>
    <definedName name="shinsei_hosei4_STRUCTNOTIFT_BIKO">'DATA'!$G$1111</definedName>
    <definedName name="shinsei_hosei4_STRUCTNOTIFT_DOCNO">'DATA'!$G$1113</definedName>
    <definedName name="shinsei_hosei4_STRUCTNOTIFT_HENKOU_LIMIT_DATE">'DATA'!$G$1118</definedName>
    <definedName name="shinsei_hosei4_STRUCTNOTIFT_HENKOU_NOTIFT_DATE">'DATA'!$G$1116</definedName>
    <definedName name="shinsei_hosei4_STRUCTNOTIFT_NOTIFT_DATE">'DATA'!$G$1108</definedName>
    <definedName name="shinsei_hosei4_STRUCTNOTIFT_NOTIFT_NO">'DATA'!$G$1109</definedName>
    <definedName name="shinsei_hosei4_STRUCTNOTIFT_TOUTYAKU_MEMO">'DATA'!$G$1110</definedName>
    <definedName name="shinsei_hosei4_STRUCTNOTIFT_TUIKA_DATE">'DATA'!$G$1112</definedName>
    <definedName name="shinsei_hosei4_STRUCTNOTIFT_USE">'DATA'!$G$1107</definedName>
    <definedName name="shinsei_hosei4_STRUCTTUIKA_DOCNO">'DATA'!$G$1117</definedName>
    <definedName name="shinsei_hosei4_STRUCTTUIKA_NOTIFT_DATE">'DATA'!$G$1115</definedName>
    <definedName name="shinsei_hosei5_ANSWER_DATE">'DATA'!$G$1127</definedName>
    <definedName name="shinsei_hosei5_BIKO">'DATA'!$G$1143</definedName>
    <definedName name="shinsei_hosei5_KENSAIN_USER_ID">'DATA'!$G$1125</definedName>
    <definedName name="shinsei_hosei5_LIMIT_DATE">'DATA'!$G$1126</definedName>
    <definedName name="shinsei_hosei5_NOTIFY_DATE">'DATA'!$G$1123</definedName>
    <definedName name="shinsei_hosei5_NOTIFY_DOCNO">'DATA'!$G$1124</definedName>
    <definedName name="shinsei_hosei5_NOTIFY_NOTE">'DATA'!$G$1128</definedName>
    <definedName name="shinsei_hosei5_NOTIFY_SOUFU_SAKI">'DATA'!$G$1129</definedName>
    <definedName name="shinsei_hosei5_STRUCTNOTIFT_BIKO">'DATA'!$G$1135</definedName>
    <definedName name="shinsei_hosei5_STRUCTNOTIFT_DOCNO">'DATA'!$G$1137</definedName>
    <definedName name="shinsei_hosei5_STRUCTNOTIFT_HENKOU_LIMIT_DATE">'DATA'!$G$1142</definedName>
    <definedName name="shinsei_hosei5_STRUCTNOTIFT_HENKOU_NOTIFT_DATE">'DATA'!$G$1140</definedName>
    <definedName name="shinsei_hosei5_STRUCTNOTIFT_NOTIFT_DATE">'DATA'!$G$1132</definedName>
    <definedName name="shinsei_hosei5_STRUCTNOTIFT_NOTIFT_NO">'DATA'!$G$1133</definedName>
    <definedName name="shinsei_hosei5_STRUCTNOTIFT_TOUTYAKU_MEMO">'DATA'!$G$1134</definedName>
    <definedName name="shinsei_hosei5_STRUCTNOTIFT_TUIKA_DATE">'DATA'!$G$1136</definedName>
    <definedName name="shinsei_hosei5_STRUCTNOTIFT_USE">'DATA'!$G$1131</definedName>
    <definedName name="shinsei_hosei5_STRUCTTUIKA_DOCNO">'DATA'!$G$1141</definedName>
    <definedName name="shinsei_hosei5_STRUCTTUIKA_NOTIFT_DATE">'DATA'!$G$1139</definedName>
    <definedName name="shinsei_hosei6_ANSWER_DATE">'DATA'!$G$1151</definedName>
    <definedName name="shinsei_hosei6_BIKO">'DATA'!$G$1167</definedName>
    <definedName name="shinsei_hosei6_KENSAIN_USER_ID">'DATA'!$G$1149</definedName>
    <definedName name="shinsei_hosei6_LIMIT_DATE">'DATA'!$G$1150</definedName>
    <definedName name="shinsei_hosei6_NOTIFY_DATE">'DATA'!$G$1147</definedName>
    <definedName name="shinsei_hosei6_NOTIFY_DOCNO">'DATA'!$G$1148</definedName>
    <definedName name="shinsei_hosei6_NOTIFY_NOTE">'DATA'!$G$1152</definedName>
    <definedName name="shinsei_hosei6_NOTIFY_SOUFU_SAKI">'DATA'!$G$1153</definedName>
    <definedName name="shinsei_hosei6_STRUCTNOTIFT_BIKO">'DATA'!$G$1159</definedName>
    <definedName name="shinsei_hosei6_STRUCTNOTIFT_DOCNO">'DATA'!$G$1161</definedName>
    <definedName name="shinsei_hosei6_STRUCTNOTIFT_HENKOU_LIMIT_DATE">'DATA'!$G$1166</definedName>
    <definedName name="shinsei_hosei6_STRUCTNOTIFT_HENKOU_NOTIFT_DATE">'DATA'!$G$1164</definedName>
    <definedName name="shinsei_hosei6_STRUCTNOTIFT_NOTIFT_DATE">'DATA'!$G$1156</definedName>
    <definedName name="shinsei_hosei6_STRUCTNOTIFT_NOTIFT_NO">'DATA'!$G$1157</definedName>
    <definedName name="shinsei_hosei6_STRUCTNOTIFT_TOUTYAKU_MEMO">'DATA'!$G$1158</definedName>
    <definedName name="shinsei_hosei6_STRUCTNOTIFT_TUIKA_DATE">'DATA'!$G$1160</definedName>
    <definedName name="shinsei_hosei6_STRUCTNOTIFT_USE">'DATA'!$G$1155</definedName>
    <definedName name="shinsei_hosei6_STRUCTTUIKA_DOCNO">'DATA'!$G$1165</definedName>
    <definedName name="shinsei_hosei6_STRUCTTUIKA_NOTIFT_DATE">'DATA'!$G$1163</definedName>
    <definedName name="shinsei_hosei7_ANSWER_DATE">'DATA'!$G$1175</definedName>
    <definedName name="shinsei_hosei7_BIKO">'DATA'!$G$1191</definedName>
    <definedName name="shinsei_hosei7_KENSAIN_USER_ID">'DATA'!$G$1173</definedName>
    <definedName name="shinsei_hosei7_LIMIT_DATE">'DATA'!$G$1174</definedName>
    <definedName name="shinsei_hosei7_NOTIFY_DATE">'DATA'!$G$1171</definedName>
    <definedName name="shinsei_hosei7_NOTIFY_DOCNO">'DATA'!$G$1172</definedName>
    <definedName name="shinsei_hosei7_NOTIFY_NOTE">'DATA'!$G$1176</definedName>
    <definedName name="shinsei_hosei7_NOTIFY_SOUFU_SAKI">'DATA'!$G$1177</definedName>
    <definedName name="shinsei_hosei7_STRUCTNOTIFT_BIKO">'DATA'!$G$1183</definedName>
    <definedName name="shinsei_hosei7_STRUCTNOTIFT_DOCNO">'DATA'!$G$1185</definedName>
    <definedName name="shinsei_hosei7_STRUCTNOTIFT_HENKOU_LIMIT_DATE">'DATA'!$G$1190</definedName>
    <definedName name="shinsei_hosei7_STRUCTNOTIFT_HENKOU_NOTIFT_DATE">'DATA'!$G$1188</definedName>
    <definedName name="shinsei_hosei7_STRUCTNOTIFT_NOTIFT_DATE">'DATA'!$G$1180</definedName>
    <definedName name="shinsei_hosei7_STRUCTNOTIFT_NOTIFT_NO">'DATA'!$G$1181</definedName>
    <definedName name="shinsei_hosei7_STRUCTNOTIFT_TOUTYAKU_MEMO">'DATA'!$G$1182</definedName>
    <definedName name="shinsei_hosei7_STRUCTNOTIFT_TUIKA_DATE">'DATA'!$G$1184</definedName>
    <definedName name="shinsei_hosei7_STRUCTNOTIFT_USE">'DATA'!$G$1179</definedName>
    <definedName name="shinsei_hosei7_STRUCTTUIKA_DOCNO">'DATA'!$G$1189</definedName>
    <definedName name="shinsei_hosei7_STRUCTTUIKA_NOTIFT_DATE">'DATA'!$G$1187</definedName>
    <definedName name="shinsei_hosei8_ANSWER_DATE">'DATA'!$G$1199</definedName>
    <definedName name="shinsei_hosei8_BIKO">'DATA'!$G$1215</definedName>
    <definedName name="shinsei_hosei8_KENSAIN_USER_ID">'DATA'!$G$1197</definedName>
    <definedName name="shinsei_hosei8_LIMIT_DATE">'DATA'!$G$1198</definedName>
    <definedName name="shinsei_hosei8_NOTIFY_DATE">'DATA'!$G$1195</definedName>
    <definedName name="shinsei_hosei8_NOTIFY_DOCNO">'DATA'!$G$1196</definedName>
    <definedName name="shinsei_hosei8_NOTIFY_NOTE">'DATA'!$G$1200</definedName>
    <definedName name="shinsei_hosei8_NOTIFY_SOUFU_SAKI">'DATA'!$G$1201</definedName>
    <definedName name="shinsei_hosei8_STRUCTNOTIFT_BIKO">'DATA'!$G$1207</definedName>
    <definedName name="shinsei_hosei8_STRUCTNOTIFT_DOCNO">'DATA'!$G$1209</definedName>
    <definedName name="shinsei_hosei8_STRUCTNOTIFT_HENKOU_LIMIT_DATE">'DATA'!$G$1214</definedName>
    <definedName name="shinsei_hosei8_STRUCTNOTIFT_HENKOU_NOTIFT_DATE">'DATA'!$G$1212</definedName>
    <definedName name="shinsei_hosei8_STRUCTNOTIFT_NOTIFT_DATE">'DATA'!$G$1204</definedName>
    <definedName name="shinsei_hosei8_STRUCTNOTIFT_NOTIFT_NO">'DATA'!$G$1205</definedName>
    <definedName name="shinsei_hosei8_STRUCTNOTIFT_TOUTYAKU_MEMO">'DATA'!$G$1206</definedName>
    <definedName name="shinsei_hosei8_STRUCTNOTIFT_TUIKA_DATE">'DATA'!$G$1208</definedName>
    <definedName name="shinsei_hosei8_STRUCTNOTIFT_USE">'DATA'!$G$1203</definedName>
    <definedName name="shinsei_hosei8_STRUCTTUIKA_DOCNO">'DATA'!$G$1213</definedName>
    <definedName name="shinsei_hosei8_STRUCTTUIKA_NOTIFT_DATE">'DATA'!$G$1211</definedName>
    <definedName name="shinsei_hosei9_ANSWER_DATE">'DATA'!$G$1223</definedName>
    <definedName name="shinsei_hosei9_BIKO">'DATA'!$G$1239</definedName>
    <definedName name="shinsei_hosei9_KENSAIN_USER_ID">'DATA'!$G$1221</definedName>
    <definedName name="shinsei_hosei9_LIMIT_DATE">'DATA'!$G$1222</definedName>
    <definedName name="shinsei_hosei9_NOTIFY_DATE">'DATA'!$G$1219</definedName>
    <definedName name="shinsei_hosei9_NOTIFY_DOCNO">'DATA'!$G$1220</definedName>
    <definedName name="shinsei_hosei9_NOTIFY_NOTE">'DATA'!$G$1224</definedName>
    <definedName name="shinsei_hosei9_NOTIFY_SOUFU_SAKI">'DATA'!$G$1225</definedName>
    <definedName name="shinsei_hosei9_STRUCTNOTIFT_BIKO">'DATA'!$G$1231</definedName>
    <definedName name="shinsei_hosei9_STRUCTNOTIFT_DOCNO">'DATA'!$G$1233</definedName>
    <definedName name="shinsei_hosei9_STRUCTNOTIFT_HENKOU_LIMIT_DATE">'DATA'!$G$1238</definedName>
    <definedName name="shinsei_hosei9_STRUCTNOTIFT_HENKOU_NOTIFT_DATE">'DATA'!$G$1236</definedName>
    <definedName name="shinsei_hosei9_STRUCTNOTIFT_NOTIFT_DATE">'DATA'!$G$1228</definedName>
    <definedName name="shinsei_hosei9_STRUCTNOTIFT_NOTIFT_NO">'DATA'!$G$1229</definedName>
    <definedName name="shinsei_hosei9_STRUCTNOTIFT_TOUTYAKU_MEMO">'DATA'!$G$1230</definedName>
    <definedName name="shinsei_hosei9_STRUCTNOTIFT_TUIKA_DATE">'DATA'!$G$1232</definedName>
    <definedName name="shinsei_hosei9_STRUCTNOTIFT_USE">'DATA'!$G$1227</definedName>
    <definedName name="shinsei_hosei9_STRUCTTUIKA_DOCNO">'DATA'!$G$1237</definedName>
    <definedName name="shinsei_hosei9_STRUCTTUIKA_NOTIFT_DATE">'DATA'!$G$1235</definedName>
    <definedName name="shinsei_HOUKOKU_DATE">'DATA'!$G$657</definedName>
    <definedName name="shinsei_HYOUKA_FLAG">'DATA'!$G$152</definedName>
    <definedName name="shinsei_HYOUKA_FLAG__umu">'DATA'!$G$153</definedName>
    <definedName name="shinsei_IMPOSS_NOTIFY_BIKO">'DATA'!$G$854</definedName>
    <definedName name="shinsei_IMPOSS_NOTIFY_CAUSE">'DATA'!$G$853</definedName>
    <definedName name="shinsei_IMPOSS_NOTIFY_DATE">'DATA'!$G$850</definedName>
    <definedName name="shinsei_IMPOSS_NOTIFY_LIMIT_DATE">'DATA'!$G$852</definedName>
    <definedName name="shinsei_IMPOSS_NOTIFY_USER_ID">'DATA'!$G$851</definedName>
    <definedName name="shinsei_IMPOSS_REPORT_DATE">'DATA'!$G$857</definedName>
    <definedName name="shinsei_IMPOSS1_NOTIFY_ID__STRUCTNOTIFT_NOTIFT_DATE">'DATA'!$G$860</definedName>
    <definedName name="shinsei_IMPOSS1_NOTIFY_ID__STRUCTNOTIFT_NOTIFT_NO">'DATA'!$G$861</definedName>
    <definedName name="shinsei_IMPOSS1_NOTIFY_ID__STRUCTNOTIFT_TUIKA_DATE">'DATA'!$G$862</definedName>
    <definedName name="shinsei_IMPOSS1_NOTIFY_ID__STRUCTTUIKA_NOTIFT_DATE">'DATA'!$G$863</definedName>
    <definedName name="shinsei_IMPOSS2_NOTIFY_ID__KENSAIN_USER_ID">'DATA'!$G$868</definedName>
    <definedName name="shinsei_IMPOSS2_NOTIFY_ID__LIMIT_DATE">'DATA'!$G$869</definedName>
    <definedName name="shinsei_IMPOSS2_NOTIFY_ID__NOTIFY_CAUSE">'DATA'!$G$870</definedName>
    <definedName name="shinsei_IMPOSS2_NOTIFY_ID__NOTIFY_DATE">'DATA'!$G$867</definedName>
    <definedName name="shinsei_IMPOSS2_NOTIFY_ID__NOTIFY_NOTE">'DATA'!$G$871</definedName>
    <definedName name="shinsei_IMPOSS2_NOTIFY_ID__REPORT_DATE">'DATA'!$G$874</definedName>
    <definedName name="shinsei_IMPOSS2_NOTIFY_ID__STRUCTNOTIFT_NOTIFT_DATE">'DATA'!$G$877</definedName>
    <definedName name="shinsei_IMPOSS2_NOTIFY_ID__STRUCTNOTIFT_NOTIFT_NO">'DATA'!$G$878</definedName>
    <definedName name="shinsei_IMPOSS2_NOTIFY_ID__STRUCTNOTIFT_TUIKA_DATE">'DATA'!$G$879</definedName>
    <definedName name="shinsei_IMPOSS2_NOTIFY_ID__STRUCTTUIKA_NOTIFT_DATE">'DATA'!$G$880</definedName>
    <definedName name="shinsei_IMPOSS3_NOTIFY_ID__KENSAIN_USER_ID">'DATA'!$G$885</definedName>
    <definedName name="shinsei_IMPOSS3_NOTIFY_ID__LIMIT_DATE">'DATA'!$G$886</definedName>
    <definedName name="shinsei_IMPOSS3_NOTIFY_ID__NOTIFY_CAUSE">'DATA'!$G$887</definedName>
    <definedName name="shinsei_IMPOSS3_NOTIFY_ID__NOTIFY_DATE">'DATA'!$G$884</definedName>
    <definedName name="shinsei_IMPOSS3_NOTIFY_ID__NOTIFY_NOTE">'DATA'!$G$888</definedName>
    <definedName name="shinsei_IMPOSS3_NOTIFY_ID__REPORT_DATE">'DATA'!$G$891</definedName>
    <definedName name="shinsei_IMPOSS3_NOTIFY_ID__STRUCTNOTIFT_NOTIFT_DATE">'DATA'!$G$894</definedName>
    <definedName name="shinsei_IMPOSS3_NOTIFY_ID__STRUCTNOTIFT_NOTIFT_NO">'DATA'!$G$895</definedName>
    <definedName name="shinsei_IMPOSS3_NOTIFY_ID__STRUCTNOTIFT_TUIKA_DATE">'DATA'!$G$896</definedName>
    <definedName name="shinsei_IMPOSS3_NOTIFY_ID__STRUCTTUIKA_NOTIFT_DATE">'DATA'!$G$897</definedName>
    <definedName name="shinsei_IMPOSS4_NOTIFY_ID__KENSAIN_USER_ID">'DATA'!$G$902</definedName>
    <definedName name="shinsei_IMPOSS4_NOTIFY_ID__LIMIT_DATE">'DATA'!$G$903</definedName>
    <definedName name="shinsei_IMPOSS4_NOTIFY_ID__NOTIFY_CAUSE">'DATA'!$G$904</definedName>
    <definedName name="shinsei_IMPOSS4_NOTIFY_ID__NOTIFY_DATE">'DATA'!$G$901</definedName>
    <definedName name="shinsei_IMPOSS4_NOTIFY_ID__NOTIFY_NOTE">'DATA'!$G$905</definedName>
    <definedName name="shinsei_IMPOSS4_NOTIFY_ID__REPORT_DATE">'DATA'!$G$908</definedName>
    <definedName name="shinsei_IMPOSS4_NOTIFY_ID__STRUCTNOTIFT_NOTIFT_DATE">'DATA'!$G$911</definedName>
    <definedName name="shinsei_IMPOSS4_NOTIFY_ID__STRUCTNOTIFT_NOTIFT_NO">'DATA'!$G$912</definedName>
    <definedName name="shinsei_IMPOSS4_NOTIFY_ID__STRUCTNOTIFT_TUIKA_DATE">'DATA'!$G$913</definedName>
    <definedName name="shinsei_IMPOSS4_NOTIFY_ID__STRUCTTUIKA_NOTIFT_DATE">'DATA'!$G$914</definedName>
    <definedName name="shinsei_IMPOSS5_NOTIFY_ID__KENSAIN_USER_ID">'DATA'!$G$919</definedName>
    <definedName name="shinsei_IMPOSS5_NOTIFY_ID__LIMIT_DATE">'DATA'!$G$920</definedName>
    <definedName name="shinsei_IMPOSS5_NOTIFY_ID__NOTIFY_CAUSE">'DATA'!$G$921</definedName>
    <definedName name="shinsei_IMPOSS5_NOTIFY_ID__NOTIFY_DATE">'DATA'!$G$918</definedName>
    <definedName name="shinsei_IMPOSS5_NOTIFY_ID__NOTIFY_NOTE">'DATA'!$G$922</definedName>
    <definedName name="shinsei_IMPOSS5_NOTIFY_ID__REPORT_DATE">'DATA'!$G$925</definedName>
    <definedName name="shinsei_IMPOSS5_NOTIFY_ID__STRUCTNOTIFT_NOTIFT_DATE">'DATA'!$G$928</definedName>
    <definedName name="shinsei_IMPOSS5_NOTIFY_ID__STRUCTNOTIFT_NOTIFT_NO">'DATA'!$G$929</definedName>
    <definedName name="shinsei_IMPOSS5_NOTIFY_ID__STRUCTNOTIFT_TUIKA_DATE">'DATA'!$G$930</definedName>
    <definedName name="shinsei_IMPOSS5_NOTIFY_ID__STRUCTTUIKA_NOTIFT_DATE">'DATA'!$G$931</definedName>
    <definedName name="shinsei_IMPOSS6_NOTIFY_ID__KENSAIN_USER_ID">'DATA'!$G$936</definedName>
    <definedName name="shinsei_IMPOSS6_NOTIFY_ID__LIMIT_DATE">'DATA'!$G$937</definedName>
    <definedName name="shinsei_IMPOSS6_NOTIFY_ID__NOTIFY_CAUSE">'DATA'!$G$938</definedName>
    <definedName name="shinsei_IMPOSS6_NOTIFY_ID__NOTIFY_DATE">'DATA'!$G$935</definedName>
    <definedName name="shinsei_IMPOSS6_NOTIFY_ID__NOTIFY_NOTE">'DATA'!$G$939</definedName>
    <definedName name="shinsei_IMPOSS6_NOTIFY_ID__REPORT_DATE">'DATA'!$G$942</definedName>
    <definedName name="shinsei_IMPOSS6_NOTIFY_ID__STRUCTNOTIFT_NOTIFT_DATE">'DATA'!$G$945</definedName>
    <definedName name="shinsei_IMPOSS6_NOTIFY_ID__STRUCTNOTIFT_NOTIFT_NO">'DATA'!$G$946</definedName>
    <definedName name="shinsei_IMPOSS6_NOTIFY_ID__STRUCTNOTIFT_TUIKA_DATE">'DATA'!$G$947</definedName>
    <definedName name="shinsei_IMPOSS6_NOTIFY_ID__STRUCTTUIKA_NOTIFT_DATE">'DATA'!$G$948</definedName>
    <definedName name="shinsei_IMPOSSX_NOTIFY_ID__KENSAIN_USER_ID">'DATA'!$G$953</definedName>
    <definedName name="shinsei_IMPOSSX_NOTIFY_ID__NOTIFY_CAUSE">'DATA'!$G$954</definedName>
    <definedName name="shinsei_IMPOSSX_NOTIFY_ID__NOTIFY_DATE">'DATA'!$G$952</definedName>
    <definedName name="shinsei_IMPOSSX_NOTIFY_ID__NOTIFY_NOTE">'DATA'!$G$955</definedName>
    <definedName name="shinsei_IMPOSSX_NOTIFY_ID__REPORT_DATE">'DATA'!$G$958</definedName>
    <definedName name="shinsei_IMPOSSX_NOTIFY_ID__STRUCTNOTIFT_NOTIFT_DATE">'DATA'!$G$961</definedName>
    <definedName name="shinsei_IMPOSSX_NOTIFY_ID__STRUCTNOTIFT_NOTIFT_NO">'DATA'!$G$962</definedName>
    <definedName name="shinsei_IMPOSSX_NOTIFY_ID__STRUCTNOTIFT_TUIKA_DATE">'DATA'!$G$963</definedName>
    <definedName name="shinsei_IMPOSSX_NOTIFY_ID__STRUCTTUIKA_NOTIFT_DATE">'DATA'!$G$964</definedName>
    <definedName name="shinsei_INSPECTION_NO">'DATA'!$G$77</definedName>
    <definedName name="shinsei_INSPECTION_TYPE">'DATA'!$G$73</definedName>
    <definedName name="shinsei_INTER_KOUKU">'DATA'!$G$553</definedName>
    <definedName name="shinsei_intermediate_BILL_KOUJI_DAI_MOYOUGAE">'DATA'!$G$436</definedName>
    <definedName name="shinsei_intermediate_BILL_KOUJI_DAI_SYUUZEN">'DATA'!$G$435</definedName>
    <definedName name="shinsei_intermediate_BILL_KOUJI_ITEN">'DATA'!$G$434</definedName>
    <definedName name="shinsei_intermediate_BILL_KOUJI_KAITIKU">'DATA'!$G$433</definedName>
    <definedName name="shinsei_intermediate_BILL_KOUJI_SETUBISETTI">'DATA'!$G$437</definedName>
    <definedName name="shinsei_intermediate_BILL_KOUJI_SINTIKU">'DATA'!$G$431</definedName>
    <definedName name="shinsei_intermediate_BILL_KOUJI_ZOUTIKU">'DATA'!$G$432</definedName>
    <definedName name="shinsei_intermediate_CYU1_KAISUU">'DATA'!$G$549</definedName>
    <definedName name="shinsei_intermediate_CYU1_NITTEI">'DATA'!$G$551</definedName>
    <definedName name="shinsei_intermediate_CYU1_YUKA_MENSEKI">'DATA'!$G$554</definedName>
    <definedName name="shinsei_intermediate_GOUKAKU_KENSAIN">'DATA'!$G$643</definedName>
    <definedName name="shinsei_Intermediate_GOUKAKU_TOKKI_JIKOU">'DATA'!$G$653</definedName>
    <definedName name="shinsei_intermediate_HOUKOKU_SAKI">'DATA'!$G$138</definedName>
    <definedName name="shinsei_intermediate_KENSA_DATE">'DATA'!$G$648</definedName>
    <definedName name="shinsei_intermediate_KENSA_KEKKA">'DATA'!$G$637</definedName>
    <definedName name="shinsei_intermediate_SPECIFIC_KOUTEI">'DATA'!$G$550</definedName>
    <definedName name="shinsei_ISSUE_DATE">'DATA'!$G$627</definedName>
    <definedName name="shinsei_ISSUE_KOUFU_NAME">'DATA'!$G$633</definedName>
    <definedName name="shinsei_ISSUE_NO">'DATA'!$G$630</definedName>
    <definedName name="shinsei_KAKU_SUMI_KOUFU_DATE">'DATA'!$G$666</definedName>
    <definedName name="shinsei_KAKU_SUMI_KOUFU_NAME">'DATA'!$G$668</definedName>
    <definedName name="shinsei_KAKU_SUMI_NO">'DATA'!$G$664</definedName>
    <definedName name="shinsei_KAKUNINZUMI_HOUKOKU_GYOSEI_DATE">'DATA'!$G$490</definedName>
    <definedName name="shinsei_KAKUNINZUMI_HOUKOKU_GYOSEI_NO">'DATA'!$G$102</definedName>
    <definedName name="shinsei_KAKUNINZUMI_HOUKOKU_SAKI">'DATA'!$G$137</definedName>
    <definedName name="shinsei_KAKUNINZUMI_KENSAIN">'DATA'!$G$642</definedName>
    <definedName name="shinsei_KAN_HOUKOKU_KENSA_DATE">'DATA'!$G$649</definedName>
    <definedName name="shinsei_KAN_HOUKOKU_SAKI">'DATA'!$G$139</definedName>
    <definedName name="shinsei_KAN_KENSA_KEKKA">'DATA'!$G$638</definedName>
    <definedName name="shinsei_KAN_ZUMI_KENSAIN">'DATA'!$G$644</definedName>
    <definedName name="shinsei_KAN_ZUMI_TOKKI_JIKOU">'DATA'!$G$654</definedName>
    <definedName name="shinsei_KASI_FLAG">'DATA'!$G$150</definedName>
    <definedName name="shinsei_KASI_FLAG__umu">'DATA'!$G$151</definedName>
    <definedName name="shinsei_KENSA_NG_CAUSE">'DATA'!$G$1020</definedName>
    <definedName name="shinsei_KENSA_RESULT">'DATA'!$G$636</definedName>
    <definedName name="shinsei_kouji">'DATA'!$G$414</definedName>
    <definedName name="shinsei_KOUJI_KANRYOU_DATE">'DATA'!$G$455</definedName>
    <definedName name="shinsei_KOUJI_YUKA_MENSEKI">'DATA'!$G$559</definedName>
    <definedName name="shinsei_kouzoujimu_EMAIL">'DATA'!$G$167</definedName>
    <definedName name="shinsei_kouzoujimu_FAX">'DATA'!$G$166</definedName>
    <definedName name="shinsei_kouzoujimu_JIMU_NAME">'DATA'!$G$163</definedName>
    <definedName name="shinsei_kouzoujimu_NAME">'DATA'!$G$164</definedName>
    <definedName name="shinsei_kouzoujimu_TEL">'DATA'!$G$165</definedName>
    <definedName name="shinsei_NG_NOTIFY_BIKO">'DATA'!$G$974</definedName>
    <definedName name="shinsei_NG_NOTIFY_CAUSE">'DATA'!$G$973</definedName>
    <definedName name="shinsei_NG_NOTIFY_DATE">'DATA'!$G$969</definedName>
    <definedName name="shinsei_NG_NOTIFY_KENSA_DATE">'DATA'!$G$971</definedName>
    <definedName name="shinsei_NG_NOTIFY_LIMIT_DATE">'DATA'!$G$972</definedName>
    <definedName name="shinsei_NG_NOTIFY_USER_ID">'DATA'!$G$970</definedName>
    <definedName name="shinsei_NG_REPORT_DATE">'DATA'!$G$978</definedName>
    <definedName name="shinsei_NG1_NOTIFY_ID__STRUCTNOTIFT_NOTIFT_DATE">'DATA'!$G$981</definedName>
    <definedName name="shinsei_NG1_NOTIFY_ID__STRUCTNOTIFT_NOTIFT_NO">'DATA'!$G$982</definedName>
    <definedName name="shinsei_NG1_NOTIFY_ID__STRUCTNOTIFT_TUIKA_DATE">'DATA'!$G$983</definedName>
    <definedName name="shinsei_NG1_NOTIFY_ID__STRUCTTUIKA_NOTIFT_DATE">'DATA'!$G$984</definedName>
    <definedName name="shinsei_NG2_NOTIFY_ID__KENSA_DATE">'DATA'!$G$990</definedName>
    <definedName name="shinsei_NG2_NOTIFY_ID__KENSAIN_USER_ID">'DATA'!$G$989</definedName>
    <definedName name="shinsei_NG2_NOTIFY_ID__LIMIT_DATE">'DATA'!$G$991</definedName>
    <definedName name="shinsei_NG2_NOTIFY_ID__NOTIFY_CAUSE">'DATA'!$G$992</definedName>
    <definedName name="shinsei_NG2_NOTIFY_ID__NOTIFY_DATE">'DATA'!$G$988</definedName>
    <definedName name="shinsei_NG2_NOTIFY_ID__NOTIFY_NOTE">'DATA'!$G$993</definedName>
    <definedName name="shinsei_NG2_NOTIFY_ID__REPORT_DATE">'DATA'!$G$996</definedName>
    <definedName name="shinsei_NG3_NOTIFY_ID__KENSA_DATE">'DATA'!$G$1002</definedName>
    <definedName name="shinsei_NG3_NOTIFY_ID__KENSAIN_USER_ID">'DATA'!$G$1001</definedName>
    <definedName name="shinsei_NG3_NOTIFY_ID__LIMIT_DATE">'DATA'!$G$1003</definedName>
    <definedName name="shinsei_NG3_NOTIFY_ID__NOTIFY_CAUSE">'DATA'!$G$1004</definedName>
    <definedName name="shinsei_NG3_NOTIFY_ID__NOTIFY_DATE">'DATA'!$G$1000</definedName>
    <definedName name="shinsei_NG3_NOTIFY_ID__NOTIFY_NOTE">'DATA'!$G$1005</definedName>
    <definedName name="shinsei_NG3_NOTIFY_ID__REPORT_DATE">'DATA'!$G$1008</definedName>
    <definedName name="shinsei_NGX_NOTIFY_ID__KENSA_DATE">'DATA'!$G$1014</definedName>
    <definedName name="shinsei_NGX_NOTIFY_ID__KENSAIN_USER_ID">'DATA'!$G$1013</definedName>
    <definedName name="shinsei_NGX_NOTIFY_ID__NOTIFY_CAUSE">'DATA'!$G$1015</definedName>
    <definedName name="shinsei_NGX_NOTIFY_ID__NOTIFY_DATE">'DATA'!$G$1012</definedName>
    <definedName name="shinsei_NGX_NOTIFY_ID__NOTIFY_NOTE">'DATA'!$G$1016</definedName>
    <definedName name="shinsei_NGX_NOTIFY_ID__REPORT_DATE">'DATA'!$G$1019</definedName>
    <definedName name="shinsei_NUMBER">'DATA'!$G$623</definedName>
    <definedName name="shinsei_NUSHI__address">'DATA'!$G$255</definedName>
    <definedName name="shinsei_NUSHI_CORP">'DATA'!$G$250</definedName>
    <definedName name="shinsei_NUSHI_NAME">'DATA'!$G$253</definedName>
    <definedName name="shinsei_NUSHI_NAME_KANA">'DATA'!$G$251</definedName>
    <definedName name="shinsei_NUSHI_POST">'DATA'!$G$252</definedName>
    <definedName name="shinsei_NUSHI_POST_CODE">'DATA'!$G$254</definedName>
    <definedName name="shinsei_NUSHI_TEL">'DATA'!$G$256</definedName>
    <definedName name="shinsei_owner2__address">'DATA'!$G$264</definedName>
    <definedName name="shinsei_owner2_CORP">'DATA'!$G$259</definedName>
    <definedName name="shinsei_owner2_NAME">'DATA'!$G$262</definedName>
    <definedName name="shinsei_owner2_NAME_KANA">'DATA'!$G$260</definedName>
    <definedName name="shinsei_owner2_POST">'DATA'!$G$261</definedName>
    <definedName name="shinsei_owner2_POST_CODE">'DATA'!$G$263</definedName>
    <definedName name="shinsei_owner2_TEL">'DATA'!$G$265</definedName>
    <definedName name="shinsei_owner3__address">'DATA'!$G$273</definedName>
    <definedName name="shinsei_owner3_CORP">'DATA'!$G$268</definedName>
    <definedName name="shinsei_owner3_NAME">'DATA'!$G$271</definedName>
    <definedName name="shinsei_owner3_NAME_KANA">'DATA'!$G$269</definedName>
    <definedName name="shinsei_owner3_POST">'DATA'!$G$270</definedName>
    <definedName name="shinsei_owner3_POST_CODE">'DATA'!$G$272</definedName>
    <definedName name="shinsei_owner3_TEL">'DATA'!$G$274</definedName>
    <definedName name="shinsei_owner4__address">'DATA'!$G$282</definedName>
    <definedName name="shinsei_owner4_CORP">'DATA'!$G$277</definedName>
    <definedName name="shinsei_owner4_NAME">'DATA'!$G$280</definedName>
    <definedName name="shinsei_owner4_NAME_KANA">'DATA'!$G$278</definedName>
    <definedName name="shinsei_owner4_POST">'DATA'!$G$279</definedName>
    <definedName name="shinsei_owner4_POST_CODE">'DATA'!$G$281</definedName>
    <definedName name="shinsei_owner4_TEL">'DATA'!$G$283</definedName>
    <definedName name="shinsei_owner5__address">'DATA'!$G$291</definedName>
    <definedName name="shinsei_owner5_CORP">'DATA'!$G$286</definedName>
    <definedName name="shinsei_owner5_NAME">'DATA'!$G$289</definedName>
    <definedName name="shinsei_owner5_NAME_KANA">'DATA'!$G$287</definedName>
    <definedName name="shinsei_owner5_POST">'DATA'!$G$288</definedName>
    <definedName name="shinsei_owner5_POST_CODE">'DATA'!$G$290</definedName>
    <definedName name="shinsei_owner5_TEL">'DATA'!$G$292</definedName>
    <definedName name="shinsei_owner6__address">'DATA'!$G$300</definedName>
    <definedName name="shinsei_owner6_CORP">'DATA'!$G$295</definedName>
    <definedName name="shinsei_owner6_NAME">'DATA'!$G$298</definedName>
    <definedName name="shinsei_owner6_NAME_KANA">'DATA'!$G$296</definedName>
    <definedName name="shinsei_owner6_POST">'DATA'!$G$297</definedName>
    <definedName name="shinsei_owner6_POST_CODE">'DATA'!$G$299</definedName>
    <definedName name="shinsei_owner6_TEL">'DATA'!$G$301</definedName>
    <definedName name="shinsei_owner7__address">'DATA'!$G$309</definedName>
    <definedName name="shinsei_owner7_CORP">'DATA'!$G$304</definedName>
    <definedName name="shinsei_owner7_NAME">'DATA'!$G$307</definedName>
    <definedName name="shinsei_owner7_NAME_KANA">'DATA'!$G$305</definedName>
    <definedName name="shinsei_owner7_POST">'DATA'!$G$306</definedName>
    <definedName name="shinsei_owner7_POST_CODE">'DATA'!$G$308</definedName>
    <definedName name="shinsei_owner7_TEL">'DATA'!$G$310</definedName>
    <definedName name="shinsei_owner8__address">'DATA'!$G$318</definedName>
    <definedName name="shinsei_owner8_CORP">'DATA'!$G$313</definedName>
    <definedName name="shinsei_owner8_NAME">'DATA'!$G$316</definedName>
    <definedName name="shinsei_owner8_NAME_KANA">'DATA'!$G$314</definedName>
    <definedName name="shinsei_owner8_POST">'DATA'!$G$315</definedName>
    <definedName name="shinsei_owner8_POST_CODE">'DATA'!$G$317</definedName>
    <definedName name="shinsei_owner8_TEL">'DATA'!$G$319</definedName>
    <definedName name="shinsei_owner9__address">'DATA'!$G$327</definedName>
    <definedName name="shinsei_owner9_CORP">'DATA'!$G$322</definedName>
    <definedName name="shinsei_owner9_NAME">'DATA'!$G$325</definedName>
    <definedName name="shinsei_owner9_NAME_KANA">'DATA'!$G$323</definedName>
    <definedName name="shinsei_owner9_POST">'DATA'!$G$324</definedName>
    <definedName name="shinsei_owner9_POST_CODE">'DATA'!$G$326</definedName>
    <definedName name="shinsei_owner9_TEL">'DATA'!$G$328</definedName>
    <definedName name="shinsei_PREF_OFFICE_FLAG">'DATA'!$G$140</definedName>
    <definedName name="shinsei_PROVO_DATE">'DATA'!$G$610</definedName>
    <definedName name="shinsei_PROVO_STRUCT_TANTO_USER_ID">'DATA'!$G$146</definedName>
    <definedName name="shinsei_PROVO_TANTO_USER_ID">'DATA'!$G$41</definedName>
    <definedName name="shinsei_PURIFIER_TANK_FLAG">'DATA'!$G$479</definedName>
    <definedName name="shinsei_REPORT_DEST_DEPART_NAME">'DATA'!$G$107</definedName>
    <definedName name="shinsei_REPORT_DEST_FAX">'DATA'!$G$108</definedName>
    <definedName name="shinsei_REPORT_DEST_GYOUSEI_KIND">'dDATA_cst'!$I$49</definedName>
    <definedName name="shinsei_REPORT_DEST_GYOUSEI_KIND__base">'dDATA_cst'!$I$45</definedName>
    <definedName name="shinsei_REPORT_DEST_GYOUSEI_KIND__base_point">'dDATA_cst'!$F$57</definedName>
    <definedName name="shinsei_REPORT_DEST_GYOUSEI_KIND__case1">'dDATA_cst'!$I$47</definedName>
    <definedName name="shinsei_REPORT_DEST_GYOUSEI_NAME">'DATA'!$G$110</definedName>
    <definedName name="shinsei_REPORT_DEST_KIND">'DATA'!$G$103</definedName>
    <definedName name="shinsei_REPORT_DEST_NAME">'DATA'!$G$106</definedName>
    <definedName name="shinsei_REPORT_DEST_SYUJI_NAME">'DATA'!$G$109</definedName>
    <definedName name="shinsei_sekkeijimu_EMAIL">'DATA'!$G$160</definedName>
    <definedName name="shinsei_sekkeijimu_FAX">'DATA'!$G$159</definedName>
    <definedName name="shinsei_sekkeijimu_JIMU_NAME">'DATA'!$G$156</definedName>
    <definedName name="shinsei_sekkeijimu_NAME">'DATA'!$G$157</definedName>
    <definedName name="shinsei_sekkeijimu_TEL">'DATA'!$G$158</definedName>
    <definedName name="shinsei_SEKOU__address">'DATA'!$G$385</definedName>
    <definedName name="shinsei_SEKOU_ADDRESS">'DATA'!$G$386</definedName>
    <definedName name="shinsei_SEKOU_JIMU_NAME">'DATA'!$G$383</definedName>
    <definedName name="shinsei_SEKOU_NAME">'DATA'!$G$384</definedName>
    <definedName name="shinsei_SEKOU_TEL">'DATA'!$G$387</definedName>
    <definedName name="shinsei_SEPTICTANK_KOUZOU_SYURUI">'DATA'!$G$486</definedName>
    <definedName name="shinsei_STAT_CITY">'DATA'!$G$88</definedName>
    <definedName name="shinsei_STAT_KEN">'DATA'!$G$87</definedName>
    <definedName name="shinsei_STR_1ST_USER_ID">'DATA'!$G$43</definedName>
    <definedName name="shinsei_STR_2ND_USER_ID">'DATA'!$G$44</definedName>
    <definedName name="shinsei_STR_EXCEEDED_DATE">'DATA'!$G$699</definedName>
    <definedName name="shinsei_STR_SHINSEI_TOWERS">'DATA'!$G$689</definedName>
    <definedName name="shinsei_STR_TOTAL_CHARGE">'DATA_fee_detail'!$G$23</definedName>
    <definedName name="shinsei_STRIRAI_DATE">'DATA'!$G$696</definedName>
    <definedName name="shinsei_STRIRAI_TEKIHAN_ACCEPT_DATE">'DATA'!$G$697</definedName>
    <definedName name="shinsei_STRIRAI_TEKIHAN_ACCEPT_NO">'DATA'!$G$698</definedName>
    <definedName name="shinsei_STRPROVO_NOTIFY_DATE">'DATA'!$G$695</definedName>
    <definedName name="shinsei_STRTORISAGE_TEISYUTU_DATE">'DATA'!$G$700</definedName>
    <definedName name="shinsei_strtower01_JUDGE">'DATA'!$G$692</definedName>
    <definedName name="shinsei_STRUCTRESULT_NOTIFY_BIKO">'DATA'!$G$708</definedName>
    <definedName name="shinsei_STRUCTRESULT_NOTIFY_DATE">'DATA'!$G$705</definedName>
    <definedName name="shinsei_STRUCTRESULT_NOTIFY_KOUFU_NAME">'DATA'!$G$686</definedName>
    <definedName name="shinsei_STRUCTRESULT_NOTIFY_NO">'DATA'!$G$706</definedName>
    <definedName name="shinsei_STRUCTRESULT_NOTIFY_RESULT">'DATA'!$G$707</definedName>
    <definedName name="shinsei_TARGET_KIND">'DATA'!$G$72</definedName>
    <definedName name="shinsei_TEKIHAN_KIKAN_CODE">'DATA'!$G$687</definedName>
    <definedName name="shinsei_UKETUKE_NO">'DATA'!$G$621</definedName>
    <definedName name="shinsei_WORK_88">'DATA'!$G$514</definedName>
    <definedName name="shinsei_WORK_TYPE">'DATA'!$G$533</definedName>
    <definedName name="shinseijudgehist_accept_isyou1_TANTO_USER_ID">'DATA'!$G$46</definedName>
    <definedName name="shinseijudgehist_accept_isyou2_TANTO_USER_ID">'DATA'!$G$47</definedName>
    <definedName name="shinseijudgehist_accept_isyou3_TANTO_USER_ID">'DATA'!$G$48</definedName>
    <definedName name="shinseijudgehist_accept_kouzou1_TANTO_USER_ID">'DATA'!$G$49</definedName>
    <definedName name="shinseijudgehist_accept_kouzou2_TANTO_USER_ID">'DATA'!$G$50</definedName>
    <definedName name="shinseijudgehist_accept_kouzou3_TANTO_USER_ID">'DATA'!$G$51</definedName>
    <definedName name="shinseijudgehist_accept_setubi1_TANTO_USER_ID">'DATA'!$G$52</definedName>
    <definedName name="shinseijudgehist_accept_setubi2_TANTO_USER_ID">'DATA'!$G$53</definedName>
    <definedName name="shinseijudgehist_accept_setubi3_TANTO_USER_ID">'DATA'!$G$54</definedName>
    <definedName name="shinseijudgehist_provo_isyou1_TANTO_USER_ID">'DATA'!$G$56</definedName>
    <definedName name="shinseijudgehist_provo_kouzou1_TANTO_USER_ID">'DATA'!$G$57</definedName>
  </definedNames>
  <calcPr fullCalcOnLoad="1"/>
</workbook>
</file>

<file path=xl/sharedStrings.xml><?xml version="1.0" encoding="utf-8"?>
<sst xmlns="http://schemas.openxmlformats.org/spreadsheetml/2006/main" count="6126" uniqueCount="3907">
  <si>
    <t>cst_charge_strtower11_CHARGE_TOTAL</t>
  </si>
  <si>
    <t>cst_charge_strtower11_CHARGE__ctrl</t>
  </si>
  <si>
    <t>cst_charge_strtower12_CHARGE</t>
  </si>
  <si>
    <t>cst_charge_strtower12_CHARGE_WARIMASHI</t>
  </si>
  <si>
    <t>cst_charge_strtower12_CHARGE_TOTAL</t>
  </si>
  <si>
    <t>cst_charge_strtower12_CHARGE__ctrl</t>
  </si>
  <si>
    <t>cst_charge_strtower13_CHARGE</t>
  </si>
  <si>
    <t>cst_charge_strtower13_CHARGE_WARIMASHI</t>
  </si>
  <si>
    <t>cst_charge_strtower13_CHARGE_TOTAL</t>
  </si>
  <si>
    <t>cst_charge_strtower13_CHARGE__ctrl</t>
  </si>
  <si>
    <t>cst_charge_strtower14_CHARGE</t>
  </si>
  <si>
    <t>cst_charge_strtower14_CHARGE_WARIMASHI</t>
  </si>
  <si>
    <t>cst_charge_strtower14_CHARGE_TOTAL</t>
  </si>
  <si>
    <t>cst_charge_strtower14_CHARGE__ctrl</t>
  </si>
  <si>
    <t>支店番号</t>
  </si>
  <si>
    <t>名前</t>
  </si>
  <si>
    <t>■ システム情報</t>
  </si>
  <si>
    <t>作成した処理の有効・無効の切り替え</t>
  </si>
  <si>
    <t>処理カードに搭載の処理を無効化にする為</t>
  </si>
  <si>
    <t>cst_INSPECTION_NO_Uketuke_Select1_2</t>
  </si>
  <si>
    <t>cst_INSPECTION_NO_Uketuke_Select2_2</t>
  </si>
  <si>
    <t>cst_INSPECTION_TYPE_final_Uketuke_1</t>
  </si>
  <si>
    <t>建て方</t>
  </si>
  <si>
    <t>中間検査　基礎・建て方で　検査員を切替</t>
  </si>
  <si>
    <t>cst_KENSAIN_kiso</t>
  </si>
  <si>
    <t>cst_KENSAIN_tatekata</t>
  </si>
  <si>
    <t>cst_KENSAIN_final</t>
  </si>
  <si>
    <t>検査記録表　検査員名を表示</t>
  </si>
  <si>
    <t>木造２階</t>
  </si>
  <si>
    <t>木造３階</t>
  </si>
  <si>
    <t>構造情報１</t>
  </si>
  <si>
    <t>事前受付番号</t>
  </si>
  <si>
    <t>引受番号</t>
  </si>
  <si>
    <t>構造計算書</t>
  </si>
  <si>
    <t>スペースを除くのだが、財団法人の後にスペース追加</t>
  </si>
  <si>
    <t>**shinsei_INSPECTION_TYPE</t>
  </si>
  <si>
    <t>確認, 計画変更, 中間検査, 完了検査</t>
  </si>
  <si>
    <t>cst_shinsei_INSPECTION_TYPE_class2</t>
  </si>
  <si>
    <t>確認申請, 検査申請</t>
  </si>
  <si>
    <t>cst_shinsei_INSPECTION_TYPE_class3</t>
  </si>
  <si>
    <t>確認申請, 中間検査, 完了検査</t>
  </si>
  <si>
    <t>確認, 中間検査, 完了検査</t>
  </si>
  <si>
    <t>回数</t>
  </si>
  <si>
    <t>計画変更時の回数（入力値）</t>
  </si>
  <si>
    <t xml:space="preserve">押下ボタン情報１ </t>
  </si>
  <si>
    <t>事前, 引受, 交付, imposs, impossx, ng, ngx, regrepo, exceeded, strexceeded, doccheck, objectdoccheck, 引受CK, 事前CK, 適合CK, birukan</t>
  </si>
  <si>
    <t>値</t>
  </si>
  <si>
    <t>タブ名：押下ボタン名</t>
  </si>
  <si>
    <t>**shinsei_ev_KOUSAKU_SONOTA</t>
  </si>
  <si>
    <t>88-2専用</t>
  </si>
  <si>
    <t>築造面積（申請部分）</t>
  </si>
  <si>
    <t>築造面積（申請以外の部分）</t>
  </si>
  <si>
    <t>築造面積（合計）</t>
  </si>
  <si>
    <t>○分類</t>
  </si>
  <si>
    <t>**shinsei_WORK_TYPE</t>
  </si>
  <si>
    <t>（擁壁, 煙突, 乗用, 広告塔・高架水槽等, 鉄筋コンクリート造等の柱, 遊戯施設, プラント, その他, 煙突, 擁壁）</t>
  </si>
  <si>
    <t>**shinsei_WORK_88</t>
  </si>
  <si>
    <t>■ 概要データ　－　昇降機・工作物</t>
  </si>
  <si>
    <t>建築物の確認申請の情報</t>
  </si>
  <si>
    <t>建築物の確認申請番号</t>
  </si>
  <si>
    <t>建築物の確認申請交付日</t>
  </si>
  <si>
    <t>建築物の法６条区分</t>
  </si>
  <si>
    <t>**shinsei_SEKOU_NAME</t>
  </si>
  <si>
    <t>所在地（住所２のみ）</t>
  </si>
  <si>
    <t>cst_shinsei_SEKOU_JIMU_NAME</t>
  </si>
  <si>
    <t>cst_shinsei_SEKOU_NAME</t>
  </si>
  <si>
    <t>cst_shinsei_SEKOU__address</t>
  </si>
  <si>
    <t>cst_shinsei_SEKOU_TEL</t>
  </si>
  <si>
    <t>cst_p2_shinsei_HEN_SUMI_KOUFU_DATE__add_disp</t>
  </si>
  <si>
    <t>cst_shinsei_intermediate_GOUKAKU_KENSAIN</t>
  </si>
  <si>
    <t>cst_shinsei_KAN_ZUMI_KENSAIN</t>
  </si>
  <si>
    <t>cst_shinsei_KENSAIN</t>
  </si>
  <si>
    <t>cst_shinsei_intermediate_KENSA_DATE</t>
  </si>
  <si>
    <t>cst_charge_strtower01_CHARGE_TOTAL</t>
  </si>
  <si>
    <t>cst_charge_strtower01_CHARGE__ctrl</t>
  </si>
  <si>
    <t>cst_charge_strtower02_CHARGE</t>
  </si>
  <si>
    <t>cst_charge_strtower02_CHARGE_WARIMASHI</t>
  </si>
  <si>
    <t>cst_charge_strtower02_CHARGE_TOTAL</t>
  </si>
  <si>
    <t>cst_charge_strtower02_CHARGE__ctrl</t>
  </si>
  <si>
    <t>cst_charge_strtower03_CHARGE</t>
  </si>
  <si>
    <t>cst_charge_strtower03_CHARGE_WARIMASHI</t>
  </si>
  <si>
    <t>cst_charge_strtower03_CHARGE_TOTAL</t>
  </si>
  <si>
    <t>cst_charge_strtower03_CHARGE__ctrl</t>
  </si>
  <si>
    <t>cst_NOTIFY_ctrl</t>
  </si>
  <si>
    <t>STRUCT_NOTIFT コントロール</t>
  </si>
  <si>
    <t>cst_STRUCTNOTIFT_NOTIFT_ctrl</t>
  </si>
  <si>
    <t>書面・できない旨の通知書</t>
  </si>
  <si>
    <t>期限付</t>
  </si>
  <si>
    <t>補正等</t>
  </si>
  <si>
    <t>cst_shinsei_xx_NOTIFY_DATE</t>
  </si>
  <si>
    <t>○</t>
  </si>
  <si>
    <t>検査年月日</t>
  </si>
  <si>
    <t>cst_shinsei_xx_NOTIFY_KENSA_DATE</t>
  </si>
  <si>
    <t>構造適合性判定室</t>
  </si>
  <si>
    <t>日本建築設備</t>
  </si>
  <si>
    <t>財団法人 ベターリビング</t>
  </si>
  <si>
    <t>理事長 那珂  正</t>
  </si>
  <si>
    <t>構造審査室長</t>
  </si>
  <si>
    <t>会長　浅野間 一夫</t>
  </si>
  <si>
    <t>住宅金融</t>
  </si>
  <si>
    <t>理事長 戸田　敬里</t>
  </si>
  <si>
    <t>構造計算適合性判定主務部長</t>
  </si>
  <si>
    <t>東京都防災</t>
  </si>
  <si>
    <t>会長 花方　威之</t>
  </si>
  <si>
    <t>会長  花方　威之</t>
  </si>
  <si>
    <t>神奈川県建築安全協会</t>
  </si>
  <si>
    <t>安全協会</t>
  </si>
  <si>
    <t>理事長 鳥羽山　伸夫</t>
  </si>
  <si>
    <t>構造判定部長</t>
  </si>
  <si>
    <t>さいたま住宅検査</t>
  </si>
  <si>
    <t>住宅検査</t>
  </si>
  <si>
    <t>理事長 北村  修一</t>
  </si>
  <si>
    <t>理事長 小髙　俊和</t>
  </si>
  <si>
    <t>千葉県建設技術</t>
  </si>
  <si>
    <t>代表理事 春田　茂桂</t>
  </si>
  <si>
    <t>構造部長</t>
  </si>
  <si>
    <t>茨城県建築</t>
  </si>
  <si>
    <t>茨城県</t>
  </si>
  <si>
    <t>理事長 生田　宮一</t>
  </si>
  <si>
    <t>構造計算適合性判定 ご担当者</t>
  </si>
  <si>
    <t>静岡県建築技術</t>
  </si>
  <si>
    <t>安心支援</t>
  </si>
  <si>
    <t>代表取締役社長 加藤　義雄</t>
  </si>
  <si>
    <t>構造判定部長  高橋　克夫</t>
  </si>
  <si>
    <t>ハウスプラス</t>
  </si>
  <si>
    <t>代表取締役 中澤 芳樹</t>
  </si>
  <si>
    <t>代表取締役  中澤　芳樹</t>
  </si>
  <si>
    <t>代表取締役社長 安藤　武彦</t>
  </si>
  <si>
    <t>構造判定事業部</t>
  </si>
  <si>
    <t>都市居住評価</t>
  </si>
  <si>
    <t>居住評価</t>
  </si>
  <si>
    <t>代表取締役社長 田野邉　幸裕</t>
  </si>
  <si>
    <t>代表取締役社長  田野邉　幸裕</t>
  </si>
  <si>
    <t>代表取締役 山田　耕藏</t>
  </si>
  <si>
    <t>構造判定部</t>
  </si>
  <si>
    <t>代表取締役 藤田　孝行</t>
  </si>
  <si>
    <t>代表取締役社長 早田　平</t>
  </si>
  <si>
    <t>東京建築検査機構</t>
  </si>
  <si>
    <t>検査機構</t>
  </si>
  <si>
    <t>T</t>
  </si>
  <si>
    <t>cst_owner7_POSTname</t>
  </si>
  <si>
    <t>cst_owner8_POSTname</t>
  </si>
  <si>
    <t>cst_owner9_POSTname</t>
  </si>
  <si>
    <t>無効</t>
  </si>
  <si>
    <t>有効, 無効</t>
  </si>
  <si>
    <t>区別</t>
  </si>
  <si>
    <t>**shinsei_TARGET_KIND</t>
  </si>
  <si>
    <t>建築物, 昇降機, 工作物</t>
  </si>
  <si>
    <t>種別</t>
  </si>
  <si>
    <t>情報取得用基点</t>
  </si>
  <si>
    <t>cst_CORP_INFO__base_point</t>
  </si>
  <si>
    <t>**shinsei_hosei6_STRUCTNOTIFT_TUIKA_DATE</t>
  </si>
  <si>
    <t>**shinsei_hosei6_STRUCTNOTIFT_DOCNO</t>
  </si>
  <si>
    <t>**shinsei_hosei6_STRUCTTUIKA_NOTIFT_DATE</t>
  </si>
  <si>
    <t>**shinsei_hosei6_STRUCTNOTIFT_HENKOU_NOTIFT_DATE</t>
  </si>
  <si>
    <t>■錯誤表</t>
  </si>
  <si>
    <t>確認　ｏｒ　完了で　文言を変更</t>
  </si>
  <si>
    <t>cst_ev_INSPECTION_TYPE</t>
  </si>
  <si>
    <t>処理 - 履歴範囲の取得(AI15):</t>
  </si>
  <si>
    <t>新方式の代表者取得処理</t>
  </si>
  <si>
    <t>処理 - 基準位置の取得(AJ15):</t>
  </si>
  <si>
    <t>処理 - 適判機関 - 会社名の取得:</t>
  </si>
  <si>
    <t>cst_JUDGE_OFFICE_READ___date_erea</t>
  </si>
  <si>
    <t>cst_JUDGE_OFFICE_READ___base_point</t>
  </si>
  <si>
    <t xml:space="preserve"> - 適判機関識別コード</t>
  </si>
  <si>
    <t>shinsei_TEKIHAN_KIKAN_CODE</t>
  </si>
  <si>
    <t>下記、旧式用</t>
  </si>
  <si>
    <t>cst__button_kind__select</t>
  </si>
  <si>
    <t>**shinsei_hosei10_STRUCTNOTIFT_NOTIFT_NO</t>
  </si>
  <si>
    <t>**shinsei_hosei10_STRUCTNOTIFT_TOUTYAKU_MEMO</t>
  </si>
  <si>
    <t>**shinsei_hosei10_STRUCTNOTIFT_BIKO</t>
  </si>
  <si>
    <t>cst_city_FIRE_STATION_ID__NAME</t>
  </si>
  <si>
    <t>消防署部署名</t>
  </si>
  <si>
    <t>■ 日付処理</t>
  </si>
  <si>
    <t>cst_shinsei_ACCEPT_DATE__ee</t>
  </si>
  <si>
    <t>cst_shinsei_ACCEPT_DATE__mm</t>
  </si>
  <si>
    <t>cst_shinsei_ACCEPT_DATE__dd</t>
  </si>
  <si>
    <t>引受日 - 年</t>
  </si>
  <si>
    <t>cst_shinsei_HIKIUKE_DATE__ee</t>
  </si>
  <si>
    <t>引受日 - 月</t>
  </si>
  <si>
    <t>**shinsei_intermediate_GOUKAKU_KENSAIN</t>
  </si>
  <si>
    <t>□ 完了検査</t>
  </si>
  <si>
    <t>**shinsei_KAN_ZUMI_KENSAIN</t>
  </si>
  <si>
    <t>□ 確認・中間・完了</t>
  </si>
  <si>
    <t>種別による違いを吸収</t>
  </si>
  <si>
    <t>検査年月日</t>
  </si>
  <si>
    <t>**shinsei_intermediate_KENSA_DATE</t>
  </si>
  <si>
    <t>**shinsei_KAN_HOUKOKU_KENSA_DATE</t>
  </si>
  <si>
    <t>□ 中間・完了</t>
  </si>
  <si>
    <t>特記事項, 法第3条第2項の規定及び不適合の規定</t>
  </si>
  <si>
    <t>**shinsei_Intermediate_GOUKAKU_TOKKI_JIKOU</t>
  </si>
  <si>
    <t>**shinsei_KAN_ZUMI_TOKKI_JIKOU</t>
  </si>
  <si>
    <t>cst_shinsei_intermediate_KENSA_KEKKA</t>
  </si>
  <si>
    <t>cst_shinsei_KAN_KENSA_KEKKA</t>
  </si>
  <si>
    <t>cst_shinsei_KENSA_KEKKA</t>
  </si>
  <si>
    <t>◇ 係る確認申請情報</t>
  </si>
  <si>
    <t>受付日</t>
  </si>
  <si>
    <t>cst_shinsei__REPORT_NO__disp</t>
  </si>
  <si>
    <t>**shinsei_ev_EV_BILL_NAME</t>
  </si>
  <si>
    <t>用途</t>
  </si>
  <si>
    <t>**shinsei_ev_EV_BILL_YOUTO</t>
  </si>
  <si>
    <t>**shinsei_ev_EV_SYUBETU</t>
  </si>
  <si>
    <t>**shinsei_ev_EV_YOUTO</t>
  </si>
  <si>
    <t>積載荷重</t>
  </si>
  <si>
    <t>**shinsei_ev_EV_SEKISAI</t>
  </si>
  <si>
    <t>最大定員</t>
  </si>
  <si>
    <t>**shinsei_ev_EV_TEIIN</t>
  </si>
  <si>
    <t>定格速度</t>
  </si>
  <si>
    <t>**shinsei_ev_EV_SPEED</t>
  </si>
  <si>
    <t>その他必要な事項</t>
  </si>
  <si>
    <t>**shinsei_ev_EV_SONOTA</t>
  </si>
  <si>
    <t>分類</t>
  </si>
  <si>
    <t>**shinsei_EV_TYPE</t>
  </si>
  <si>
    <t>（昇降機, ホームエレベータ, 小荷物専用昇降機, 昇降機以外の設備）</t>
  </si>
  <si>
    <t>昇降機の基数</t>
  </si>
  <si>
    <t>工作物の数</t>
  </si>
  <si>
    <t>cst_shinsei_ev_WORKCOUNT_SHINSEI</t>
  </si>
  <si>
    <t>工作物の概要</t>
  </si>
  <si>
    <t>種類（区分）</t>
  </si>
  <si>
    <t>**shinsei_ev_KOUSAKU_SYURUI_CODE</t>
  </si>
  <si>
    <t>名称</t>
  </si>
  <si>
    <t>**shinsei_ev_KOUSAKU_SYURUI</t>
  </si>
  <si>
    <t>高さ（通常）</t>
  </si>
  <si>
    <t>**shinsei_ev_KOUSAKU_TAKASA</t>
  </si>
  <si>
    <t>高さ（マックス）</t>
  </si>
  <si>
    <t>高さ（テキスト）</t>
  </si>
  <si>
    <t>構造</t>
  </si>
  <si>
    <t>**shinsei_ev_KOUSAKU_KOUZOU</t>
  </si>
  <si>
    <t>昇降機_訂正依頼FAX送付</t>
  </si>
  <si>
    <t>工作物_訂正依頼FAX送付</t>
  </si>
  <si>
    <t>基礎</t>
  </si>
  <si>
    <t>完了</t>
  </si>
  <si>
    <t>■　検査記録票</t>
  </si>
  <si>
    <t>確認済証交付者　当社・他社　切替</t>
  </si>
  <si>
    <t>cst_REPORT_SUMI_KOUFU_Select</t>
  </si>
  <si>
    <t>cst_INSPECTION_NO_Select1</t>
  </si>
  <si>
    <t>cst_INSPECTION_NO_Select2</t>
  </si>
  <si>
    <t>基礎時　表示</t>
  </si>
  <si>
    <t>建て方時　表示</t>
  </si>
  <si>
    <t>cst_INSPECTION_TYPE_final</t>
  </si>
  <si>
    <t>中間検査　基礎・建て方で　検査年月日を切替</t>
  </si>
  <si>
    <t>中間検査　基礎・建て方で　受付番号を切替</t>
  </si>
  <si>
    <t>完了検査時　検査年月日を表示</t>
  </si>
  <si>
    <t>完了検査時　受付番号を表示</t>
  </si>
  <si>
    <t>cst_INSPECTION_NO_Uketuke_Select1</t>
  </si>
  <si>
    <t>cst_INSPECTION_NO_Uketuke_Select2</t>
  </si>
  <si>
    <t>cst_INSPECTION_TYPE_final_Uketuke</t>
  </si>
  <si>
    <t>cst_shinsei_strtuikaimposs5_STRUCTTUIKA_NOTIFT_DATE</t>
  </si>
  <si>
    <t>cst_shinsei_imposs6_NOTIFY_DATE</t>
  </si>
  <si>
    <t>cst_shinsei_imposs6_NOTIFY_USER</t>
  </si>
  <si>
    <t>cst_shinsei_imposs6_NOTIFY_LIMIT_DATE</t>
  </si>
  <si>
    <t>cst_shinsei_imposs6_NOTIFY_CAUSE</t>
  </si>
  <si>
    <t>cst_shinsei_imposs6_NOTIFY_NOTE</t>
  </si>
  <si>
    <t>cst_shinsei_imposs6_REPORT_DATE</t>
  </si>
  <si>
    <t>cst_p2_shinsei_ISSUE_NO</t>
  </si>
  <si>
    <t>****</t>
  </si>
  <si>
    <t>cst_p2_shinsei_ISSUE_DATE</t>
  </si>
  <si>
    <t>date</t>
  </si>
  <si>
    <t>cst_p2_shinsei_HEN_SUMI_KOUFU_NAME</t>
  </si>
  <si>
    <t>cst_p2_shinsei_HEN_SUMI_NO</t>
  </si>
  <si>
    <t>cst_p2_shinsei_HEN_SUMI_NO__shobun</t>
  </si>
  <si>
    <t>cst_p2_shinsei_HEN_SUMI_KOUFU_DATE</t>
  </si>
  <si>
    <t>cst_p2_shinsei_HEN_SUMI_KOUFU_DATE__shobun</t>
  </si>
  <si>
    <t>**shinsei_hosei4_STRUCTNOTIFT_HENKOU_NOTIFT_DATE</t>
  </si>
  <si>
    <t>**shinsei_hosei4_STRUCTTUIKA_DOCNO</t>
  </si>
  <si>
    <t>**shinsei_hosei4_STRUCTNOTIFT_HENKOU_LIMIT_DATE</t>
  </si>
  <si>
    <t>**shinsei_hosei4_BIKO</t>
  </si>
  <si>
    <t>● 回数5</t>
  </si>
  <si>
    <t>**shinsei_hosei5_NOTIFY_DATE</t>
  </si>
  <si>
    <t>**shinsei_hosei5_NOTIFY_DOCNO</t>
  </si>
  <si>
    <t>**shinsei_hosei5_KENSAIN_USER_ID</t>
  </si>
  <si>
    <t>**shinsei_hosei5_LIMIT_DATE</t>
  </si>
  <si>
    <t>**shinsei_hosei5_ANSWER_DATE</t>
  </si>
  <si>
    <t>**shinsei_hosei5_NOTIFY_NOTE</t>
  </si>
  <si>
    <t>**shinsei_hosei5_NOTIFY_SOUFU_SAKI</t>
  </si>
  <si>
    <t>**shinsei_hosei5_STRUCTNOTIFT_USE</t>
  </si>
  <si>
    <t>**shinsei_hosei5_STRUCTNOTIFT_NOTIFT_DATE</t>
  </si>
  <si>
    <t>**shinsei_hosei5_STRUCTNOTIFT_NOTIFT_NO</t>
  </si>
  <si>
    <t>**shinsei_hosei5_STRUCTNOTIFT_TOUTYAKU_MEMO</t>
  </si>
  <si>
    <t>**shinsei_hosei5_STRUCTNOTIFT_BIKO</t>
  </si>
  <si>
    <t>**shinsei_hosei5_STRUCTNOTIFT_TUIKA_DATE</t>
  </si>
  <si>
    <t>**shinsei_hosei5_STRUCTNOTIFT_DOCNO</t>
  </si>
  <si>
    <t>**shinsei_hosei5_STRUCTTUIKA_NOTIFT_DATE</t>
  </si>
  <si>
    <t>変更通知日（提出日(GBRC)）</t>
  </si>
  <si>
    <t>**shinsei_hosei5_STRUCTNOTIFT_HENKOU_NOTIFT_DATE</t>
  </si>
  <si>
    <t>**shinsei_hosei5_STRUCTTUIKA_DOCNO</t>
  </si>
  <si>
    <t>**shinsei_hosei5_STRUCTNOTIFT_HENKOU_LIMIT_DATE</t>
  </si>
  <si>
    <t>**shinsei_hosei5_BIKO</t>
  </si>
  <si>
    <t>● 回数6</t>
  </si>
  <si>
    <t>**shinsei_hosei6_NOTIFY_DATE</t>
  </si>
  <si>
    <t>**shinsei_hosei6_NOTIFY_DOCNO</t>
  </si>
  <si>
    <t>**shinsei_hosei6_KENSAIN_USER_ID</t>
  </si>
  <si>
    <t>**shinsei_hosei6_LIMIT_DATE</t>
  </si>
  <si>
    <t>**shinsei_hosei6_ANSWER_DATE</t>
  </si>
  <si>
    <t>**shinsei_hosei6_NOTIFY_NOTE</t>
  </si>
  <si>
    <t>**shinsei_hosei6_NOTIFY_SOUFU_SAKI</t>
  </si>
  <si>
    <t>**shinsei_hosei6_STRUCTNOTIFT_USE</t>
  </si>
  <si>
    <t>敷地面積</t>
  </si>
  <si>
    <t>（期限日：＊＊＊）</t>
  </si>
  <si>
    <t>第          号</t>
  </si>
  <si>
    <t>cst_DISP__sign</t>
  </si>
  <si>
    <t>番号が無い場合の表示</t>
  </si>
  <si>
    <t>cst_shinsei_ISSUE_NO__disp</t>
  </si>
  <si>
    <t>cst_shinsei_ISSUE_DATE__disp</t>
  </si>
  <si>
    <t>cst_shinsei_build_SHIKITI_MENSEKI_1_TOTAL</t>
  </si>
  <si>
    <t>■ 概要（その他）</t>
  </si>
  <si>
    <t>■ 概要（第三面）</t>
  </si>
  <si>
    <t>■ 概要（第二面）</t>
  </si>
  <si>
    <t>主要用途</t>
  </si>
  <si>
    <t>■ 概要（昇降機）</t>
  </si>
  <si>
    <t>■ 確認済証 W ■</t>
  </si>
  <si>
    <t>名称又は工事名：</t>
  </si>
  <si>
    <t>種類：</t>
  </si>
  <si>
    <t>cst_shinsei_ev_KOUSAKU_SYURUI</t>
  </si>
  <si>
    <t>高さ：</t>
  </si>
  <si>
    <t>cst_shinsei_ev_KOUSAKU_TAKASA</t>
  </si>
  <si>
    <t>IF(shinsei_ev_KOUSAKU_TAKASA_MAX="","","～")</t>
  </si>
  <si>
    <t>cst_shinsei_ev_KOUSAKU_TAKASA_MAX</t>
  </si>
  <si>
    <t>■　報告書</t>
  </si>
  <si>
    <t>行政経由番号表示の有無</t>
  </si>
  <si>
    <t>cst_shinsei_KAKUNINZUMI_HOUKOKU_GYOSEI_NO</t>
  </si>
  <si>
    <t>cst_shinsei_CHARGE_ID__meisai08_TANKA</t>
  </si>
  <si>
    <t>cst_shinsei_CHARGE_ID__meisai08_SYOUKEI</t>
  </si>
  <si>
    <t>cst_shinsei_CHARGE_ID__meisai09_SURYOU</t>
  </si>
  <si>
    <t>cst_shinsei_CHARGE_ID__meisai09_TANKA</t>
  </si>
  <si>
    <t>cst_shinsei_CHARGE_ID__meisai09_SYOUKEI</t>
  </si>
  <si>
    <t>合格証・検査済証番号</t>
  </si>
  <si>
    <t>交付：交付番号, 不可：非表示</t>
  </si>
  <si>
    <t>合格証・検査済証交付年月日</t>
  </si>
  <si>
    <t>cst_shinsei__REPORT_ISSUE_NO</t>
  </si>
  <si>
    <t>cst_shinsei__REPORT_ISSUE_DATE</t>
  </si>
  <si>
    <t>cst_shinsei_STR_SHINSEI_TOWERS__set_count</t>
  </si>
  <si>
    <t>**charge_BILL_TYPE</t>
  </si>
  <si>
    <t>**charge_ENABLED</t>
  </si>
  <si>
    <t>**charge_bill__no</t>
  </si>
  <si>
    <t>**charge_bill__date</t>
  </si>
  <si>
    <t>date</t>
  </si>
  <si>
    <t>**charge_cust__zip</t>
  </si>
  <si>
    <t>**charge_cust__address</t>
  </si>
  <si>
    <t>**charge_cust__tel</t>
  </si>
  <si>
    <t>**charge_RECEIPT_AREA</t>
  </si>
  <si>
    <t>㎡</t>
  </si>
  <si>
    <t>**charge_ZERO_FLAG</t>
  </si>
  <si>
    <t>●</t>
  </si>
  <si>
    <t>cst_charge_RECEIPT_TO</t>
  </si>
  <si>
    <t>cst_charge_RECEIPT_DATE</t>
  </si>
  <si>
    <t>**charge_DENPYOU_PRICE</t>
  </si>
  <si>
    <t>**charge_DENPYOU_NO</t>
  </si>
  <si>
    <t>cst_charge_NOTE</t>
  </si>
  <si>
    <t>cst_charge_DETAIL_BIKO</t>
  </si>
  <si>
    <t>cst_charge_BASIC_CHARGE</t>
  </si>
  <si>
    <t>cst_charge_STR_SIHARAI_DATE</t>
  </si>
  <si>
    <t>cst_charge_STR_CHARGE</t>
  </si>
  <si>
    <t>cst_charge_ZOUGEN_CHARGE__total</t>
  </si>
  <si>
    <t>cst_charge_ZOUGEN_nomi_CHARGE__total</t>
  </si>
  <si>
    <t>cst_charge_STR_CHARGE_WARIMASHI</t>
  </si>
  <si>
    <t>**charge_TIIKIWARIMASHI_SURYOU</t>
  </si>
  <si>
    <t>**charge_TIIKIWARIMASHI_TANKA</t>
  </si>
  <si>
    <t>cst_charge_TIIKIWARIMASHI_CHARGE</t>
  </si>
  <si>
    <t>**charge_meisai01_SURYOU</t>
  </si>
  <si>
    <t>**charge_meisai01_TANKA</t>
  </si>
  <si>
    <t>cst_charge_meisai01_SYOUKEI</t>
  </si>
  <si>
    <t>**charge_meisai02_SURYOU</t>
  </si>
  <si>
    <t>**charge_meisai02_TANKA</t>
  </si>
  <si>
    <t>cst_charge_meisai02_SYOUKEI</t>
  </si>
  <si>
    <t>**charge_meisai03_SURYOU</t>
  </si>
  <si>
    <t>**charge_meisai03_TANKA</t>
  </si>
  <si>
    <t>cst_charge_meisai03_SYOUKEI</t>
  </si>
  <si>
    <t>**charge_meisai04_SURYOU</t>
  </si>
  <si>
    <t>**charge_meisai04_TANKA</t>
  </si>
  <si>
    <t>cst_charge_meisai04_SYOUKEI</t>
  </si>
  <si>
    <t>**charge_meisai05_SURYOU</t>
  </si>
  <si>
    <t>**charge_meisai05_TANKA</t>
  </si>
  <si>
    <t>cst_charge_meisai05_SYOUKEI</t>
  </si>
  <si>
    <t>**charge_meisai06_SURYOU</t>
  </si>
  <si>
    <t>**charge_meisai06_TANKA</t>
  </si>
  <si>
    <t>cst_charge_meisai06_SYOUKEI</t>
  </si>
  <si>
    <t>**prule_btn_strtuikaimpossx</t>
  </si>
  <si>
    <t>**prule_btn_strtuikang</t>
  </si>
  <si>
    <t>**prule_kensaresult_ok</t>
  </si>
  <si>
    <t>**prule_kouzou_rc</t>
  </si>
  <si>
    <t>**prule_kouzou_s</t>
  </si>
  <si>
    <t>**prule_kouzou_moku</t>
  </si>
  <si>
    <t>**prule_kaisu_tijyou_2</t>
  </si>
  <si>
    <t>**prule_kaisu_tijyou_3</t>
  </si>
  <si>
    <t>**prule_youto_08010</t>
  </si>
  <si>
    <t>**prule_hou6_1</t>
  </si>
  <si>
    <t>**prule_hou6_12</t>
  </si>
  <si>
    <t>**prule_hou6_13</t>
  </si>
  <si>
    <t>**prule_hou6_2</t>
  </si>
  <si>
    <t>**prule_hou6_3</t>
  </si>
  <si>
    <t>**prule_hou6_4</t>
  </si>
  <si>
    <t>**prule_hou6_null</t>
  </si>
  <si>
    <t>**prule_moku2_yes</t>
  </si>
  <si>
    <t>**prule_moku2_no</t>
  </si>
  <si>
    <t>**prule_moku3_yes</t>
  </si>
  <si>
    <t>**prule_moku3_no</t>
  </si>
  <si>
    <t>**prule_kouzoukeisan_route1</t>
  </si>
  <si>
    <t>**prule_provono_yes</t>
  </si>
  <si>
    <t>**prule_provono_no</t>
  </si>
  <si>
    <t>**prule_acceptno_yes</t>
  </si>
  <si>
    <t>**prule_acceptno_no</t>
  </si>
  <si>
    <t>**prule_strtower_judge_yes</t>
  </si>
  <si>
    <t>**prule_strtower_judge_no</t>
  </si>
  <si>
    <t>**prule_addresschkeck_notnull</t>
  </si>
  <si>
    <t>**prule_addresschkeck_null</t>
  </si>
  <si>
    <t>**prule_HOUTEI_BIRUKAN_FLAG__yes</t>
  </si>
  <si>
    <t>**prule_HOUTEI_BIRUKAN_FLAG__no</t>
  </si>
  <si>
    <t>cst_shinsei_ng1_NOTIFY_USER</t>
  </si>
  <si>
    <t>cst_shinsei_ng1_NOTIFY_KENSA_DATE</t>
  </si>
  <si>
    <t>cst_shinsei_ng1_NOTIFY_LIMIT_DATE</t>
  </si>
  <si>
    <t>cst_shinsei_ng1_NOTIFY_CAUSE</t>
  </si>
  <si>
    <t>cst_shinsei_ng1_NOTIFY_NOTE</t>
  </si>
  <si>
    <t>● 期限付1（確認審査の報告書）</t>
  </si>
  <si>
    <t>cst_shinsei_ng1_REPORT_DATE</t>
  </si>
  <si>
    <t>cst_shinsei_strtuikang1_STRUCT_NOTIFT_DATE</t>
  </si>
  <si>
    <t>cst_shinsei_strtuikang1_STRUCT_NOTIFT_NO</t>
  </si>
  <si>
    <t>cst_shinsei_strtuikang1_STRUCT_TUIKA_DATE</t>
  </si>
  <si>
    <t>cst_shinsei_strtuikang1_STRUCTTUIKA_NOTIFT_DATE</t>
  </si>
  <si>
    <t>cst_shinsei_ng2_NOTIFY_DATE</t>
  </si>
  <si>
    <t>cst_shinsei_ng2_NOTIFY_USER</t>
  </si>
  <si>
    <t>cst_shinsei_ng2_NOTIFY_KENSA_DATE</t>
  </si>
  <si>
    <t>cst_shinsei_ng2_NOTIFY_LIMIT_DATE</t>
  </si>
  <si>
    <t>cst_shinsei_ng2_NOTIFY_CAUSE</t>
  </si>
  <si>
    <t>cst_shinsei_ng2_NOTIFY_NOTE</t>
  </si>
  <si>
    <t>● 期限付2（確認審査の報告書）</t>
  </si>
  <si>
    <t>cst_shinsei_ng2_REPORT_DATE</t>
  </si>
  <si>
    <t>cst_shinsei_ng3_NOTIFY_DATE</t>
  </si>
  <si>
    <t>cst_shinsei_ng3_NOTIFY_USER</t>
  </si>
  <si>
    <t>cst_shinsei_ng3_NOTIFY_KENSA_DATE</t>
  </si>
  <si>
    <t>cst_shinsei_ng3_NOTIFY_LIMIT_DATE</t>
  </si>
  <si>
    <t>cst_shinsei_ng3_NOTIFY_CAUSE</t>
  </si>
  <si>
    <t>cst_shinsei_ng3_NOTIFY_NOTE</t>
  </si>
  <si>
    <t>● 期限付3（確認審査の報告書）</t>
  </si>
  <si>
    <t>cst_shinsei_HIKIUKE_DATE__mm</t>
  </si>
  <si>
    <t>引受日 - 日</t>
  </si>
  <si>
    <t>cst_shinsei_HIKIUKE_DATE__dd</t>
  </si>
  <si>
    <t>行政経由日 - 年</t>
  </si>
  <si>
    <t>行政経由日 - 月</t>
  </si>
  <si>
    <t>行政経由日 - 日</t>
  </si>
  <si>
    <t>係る確認の受付日 - 年</t>
  </si>
  <si>
    <t>cst_kakaru_shinsei_ACCEPT_DATE__ee</t>
  </si>
  <si>
    <t>cst_shinsei_build_STAT_HOU6__firestation</t>
  </si>
  <si>
    <t>cst_shinsei_build_STAT_HOU6__umu</t>
  </si>
  <si>
    <t>カスタマイズセル名</t>
  </si>
  <si>
    <t>法６条区分</t>
  </si>
  <si>
    <t>ボタンの種類＋期限付回数</t>
  </si>
  <si>
    <t>■ 該当する市町村マスタ情報</t>
  </si>
  <si>
    <t>※申請と関係が無い情報含む</t>
  </si>
  <si>
    <t>住所チェック - 旧方式</t>
  </si>
  <si>
    <t>旧方式</t>
  </si>
  <si>
    <t>**shinsei_STAT_KEN</t>
  </si>
  <si>
    <t>**shinsei_STAT_CITY</t>
  </si>
  <si>
    <t>住所チェック - 市町村マスタ</t>
  </si>
  <si>
    <t>新方式</t>
  </si>
  <si>
    <t>都道府県</t>
  </si>
  <si>
    <t>市区町村</t>
  </si>
  <si>
    <t>町村</t>
  </si>
  <si>
    <t>丁番</t>
  </si>
  <si>
    <t>cst_city_street</t>
  </si>
  <si>
    <t>消防署</t>
  </si>
  <si>
    <t>消防署名</t>
  </si>
  <si>
    <t>cst_city_FIRE_STATION_ID__NAME</t>
  </si>
  <si>
    <t>部署名</t>
  </si>
  <si>
    <t>cst_city_FIRE_STATION_ID__DEPART_NAME</t>
  </si>
  <si>
    <t>宛名</t>
  </si>
  <si>
    <t>**shinsei_IMPOSS4_NOTIFY_ID__NOTIFY_DATE</t>
  </si>
  <si>
    <t>**shinsei_IMPOSS4_NOTIFY_ID__KENSAIN_USER_ID</t>
  </si>
  <si>
    <t>**shinsei_IMPOSS4_NOTIFY_ID__LIMIT_DATE</t>
  </si>
  <si>
    <t>**shinsei_IMPOSS4_NOTIFY_ID__NOTIFY_CAUSE</t>
  </si>
  <si>
    <t>**shinsei_IMPOSS4_NOTIFY_ID__NOTIFY_NOTE</t>
  </si>
  <si>
    <t>● 期限付4（確認審査の報告書）</t>
  </si>
  <si>
    <t>**shinsei_IMPOSS4_NOTIFY_ID__REPORT_DATE</t>
  </si>
  <si>
    <t>**shinsei_build_KOUJI_ZOUTIKU</t>
  </si>
  <si>
    <t>改築</t>
  </si>
  <si>
    <t>**shinsei_build_KOUJI_KAITIKU</t>
  </si>
  <si>
    <t>移転</t>
  </si>
  <si>
    <t>**shinsei_build_KOUJI_ITEN</t>
  </si>
  <si>
    <t>用途変更</t>
  </si>
  <si>
    <t>**shinsei_build_KOUJI_YOUTOHENKOU</t>
  </si>
  <si>
    <t>大規模な修繕</t>
  </si>
  <si>
    <t>**shinsei_build_KOUJI_DAI_SYUUZEN</t>
  </si>
  <si>
    <t>大規模な模様替え</t>
  </si>
  <si>
    <t>**shinsei_build_KOUJI_DAI_MOYOUGAE</t>
  </si>
  <si>
    <t>工事種別 - 工作物 - 確認申請</t>
  </si>
  <si>
    <t>**shinsei_ev_KOUSAKU_KOUJI_SHINTIKU</t>
  </si>
  <si>
    <t>**shinsei_ev_KOUSAKU_KOUJI_ZOUTIKU</t>
  </si>
  <si>
    <t>**shinsei_ev_KOUSAKU_KOUJI_KAITIKU</t>
  </si>
  <si>
    <t>**shinsei_ev_KOUSAKU_KOUJI_SONOTA</t>
  </si>
  <si>
    <t>工事種別 - 中間検査</t>
  </si>
  <si>
    <t>新築</t>
  </si>
  <si>
    <t>**shinsei_intermediate_BILL_KOUJI_SINTIKU</t>
  </si>
  <si>
    <t>増築</t>
  </si>
  <si>
    <t>**shinsei_intermediate_BILL_KOUJI_ZOUTIKU</t>
  </si>
  <si>
    <t>**shinsei_intermediate_BILL_KOUJI_KAITIKU</t>
  </si>
  <si>
    <t>**shinsei_intermediate_BILL_KOUJI_ITEN</t>
  </si>
  <si>
    <t>**shinsei_intermediate_BILL_KOUJI_DAI_SYUUZEN</t>
  </si>
  <si>
    <t>**shinsei_intermediate_BILL_KOUJI_DAI_MOYOUGAE</t>
  </si>
  <si>
    <t>建築設備の設置</t>
  </si>
  <si>
    <t>**shinsei_intermediate_BILL_KOUJI_SETUBISETTI</t>
  </si>
  <si>
    <t>工事種別 - 完了検査</t>
  </si>
  <si>
    <t>**shinsei_final_KOUJI_SINTIKU</t>
  </si>
  <si>
    <t>**shinsei_final_KOUJI_ZOUTIKU</t>
  </si>
  <si>
    <t>**shinsei_final_KOUJI_KAITIKU</t>
  </si>
  <si>
    <t>**shinsei_final_KOUJI_ITEN</t>
  </si>
  <si>
    <t>**shinsei_final_KOUJI_DAI_SYUUZEN</t>
  </si>
  <si>
    <t>**shinsei_final_KOUJI_DAI_MOYOUGAE</t>
  </si>
  <si>
    <t>**shinsei_final_KOUJI_SETUBISETTI</t>
  </si>
  <si>
    <t>cst_shinsei_build_KOUJI_SINTIKU</t>
  </si>
  <si>
    <t>cst_shinsei_build_KOUJI_ZOUTIKU</t>
  </si>
  <si>
    <t>cst_shinsei_DAIRI_FAX</t>
  </si>
  <si>
    <t>青紙</t>
  </si>
  <si>
    <t>受付番号の　年度　のみを取得</t>
  </si>
  <si>
    <t>cst_UKETUKE_y</t>
  </si>
  <si>
    <t>cst_shinsei__NOTIFY_KENSA_DATE</t>
  </si>
  <si>
    <t>cst_shinsei_imposs4_NOTIFY_LIMIT_DATE</t>
  </si>
  <si>
    <t>cst_shinsei_imposs4_NOTIFY_CAUSE</t>
  </si>
  <si>
    <t>cst_shinsei_imposs4_NOTIFY_NOTE</t>
  </si>
  <si>
    <t>cst_shinsei_imposs4_REPORT_DATE</t>
  </si>
  <si>
    <t>cst_shinsei_strtuikaimposs4_STRUCT_NOTIFT_DATE</t>
  </si>
  <si>
    <t>cst_shinsei_strtuikaimposs4_STRUCT_NOTIFT_NO</t>
  </si>
  <si>
    <t>cst_shinsei_strtuikaimposs4_STRUCT_TUIKA_DATE</t>
  </si>
  <si>
    <t>cst_shinsei_strtuikaimposs4_STRUCTTUIKA_NOTIFT_DATE</t>
  </si>
  <si>
    <t>cst_shinsei_imposs5_NOTIFY_DATE</t>
  </si>
  <si>
    <t>cst_shinsei_imposs5_NOTIFY_USER</t>
  </si>
  <si>
    <t>交付</t>
  </si>
  <si>
    <t>cst_shinsei__REPORT_DATE__disp</t>
  </si>
  <si>
    <t>報告書番号（交付：交付番号, 以外：引受番号）</t>
  </si>
  <si>
    <t>cst_kakaru_shinsei_UKETUKE_NO</t>
  </si>
  <si>
    <t>確認済証交付番号</t>
  </si>
  <si>
    <t>**shinsei_KAKU_SUMI_NO</t>
  </si>
  <si>
    <t>cst_shinsei_KAKU_SUMI_NO</t>
  </si>
  <si>
    <t>**shinsei_KAKU_SUMI_KOUFU_DATE</t>
  </si>
  <si>
    <t>**shinsei_KAKU_SUMI_KOUFU_NAME</t>
  </si>
  <si>
    <t>役職名の所で改行処理</t>
  </si>
  <si>
    <t>直前の確認情報</t>
  </si>
  <si>
    <t>■ 交付不可書発行処理用情報（※ 帳票出力には用いない）</t>
  </si>
  <si>
    <t>● 期限付1（適合するかどうかを決定する事が出来ない旨の通知書）</t>
  </si>
  <si>
    <t>通知年月日</t>
  </si>
  <si>
    <t>**shinsei_IMPOSS_NOTIFY_DATE</t>
  </si>
  <si>
    <t>**shinsei_IMPOSS_NOTIFY_USER_ID</t>
  </si>
  <si>
    <t>cst_shinsei_imposs1_NOTIFY_USER</t>
  </si>
  <si>
    <t>期限年月日</t>
  </si>
  <si>
    <t>**shinsei_IMPOSS_NOTIFY_LIMIT_DATE</t>
  </si>
  <si>
    <t>**shinsei_IMPOSS_NOTIFY_CAUSE</t>
  </si>
  <si>
    <t>備考</t>
  </si>
  <si>
    <t>**shinsei_IMPOSS_NOTIFY_BIKO</t>
  </si>
  <si>
    <t>cst_shinsei_imposs1_NOTIFY_NOTE</t>
  </si>
  <si>
    <t>● 期限付1（確認審査の報告書）</t>
  </si>
  <si>
    <t>報告年月日</t>
  </si>
  <si>
    <t>**shinsei_IMPOSS_REPORT_DATE</t>
  </si>
  <si>
    <t>● 適判 - 判定できない通知</t>
  </si>
  <si>
    <t>通知日</t>
  </si>
  <si>
    <t>通知書番号</t>
  </si>
  <si>
    <t>追加説明提出日</t>
  </si>
  <si>
    <t>適判への追加説明書の提出通知日</t>
  </si>
  <si>
    <t>cst_shinsei_strtuikaimpossx_STRUCT_NOTIFT_DATE</t>
  </si>
  <si>
    <t>擁壁</t>
  </si>
  <si>
    <t>鉄筋コンクリート造等の柱</t>
  </si>
  <si>
    <t>遊戯施設</t>
  </si>
  <si>
    <t>プラント等</t>
  </si>
  <si>
    <t>乗用エレベーター、エスカレーター</t>
  </si>
  <si>
    <t>小荷物専用昇降機</t>
  </si>
  <si>
    <t>ホームエレベーター</t>
  </si>
  <si>
    <t>本社</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</si>
  <si>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</si>
  <si>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</si>
  <si>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</si>
  <si>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</si>
  <si>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</si>
  <si>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</si>
  <si>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</si>
  <si>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</si>
  <si>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</si>
  <si>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</si>
  <si>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</si>
  <si>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</si>
  <si>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</si>
  <si>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</si>
  <si>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</si>
  <si>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</si>
  <si>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</si>
  <si>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</si>
  <si>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</si>
  <si>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</si>
  <si>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</si>
  <si>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</si>
  <si>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</si>
  <si>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</si>
  <si>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</si>
  <si>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</si>
  <si>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</si>
  <si>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</si>
  <si>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</si>
  <si>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</si>
  <si>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備考（文中に期限日を取り込む）</t>
  </si>
  <si>
    <t>建築物の名称付</t>
  </si>
  <si>
    <t>cst_charge_strtower25_CHARGE_WARIMASHI</t>
  </si>
  <si>
    <t>cst_charge_strtower25_CHARGE_TOTAL</t>
  </si>
  <si>
    <t>cst_charge_strtower25_CHARGE__ctrl</t>
  </si>
  <si>
    <t>cst_charge_strtower26_CHARGE</t>
  </si>
  <si>
    <t>cst_charge_strtower26_CHARGE_WARIMASHI</t>
  </si>
  <si>
    <t>cst_charge_strtower26_CHARGE_TOTAL</t>
  </si>
  <si>
    <t>cst_charge_strtower26_CHARGE__ctrl</t>
  </si>
  <si>
    <t>cst_shinsei_APPLICANT_CORP</t>
  </si>
  <si>
    <t>cst_shinsei_APPLICANT_NAME_KANA</t>
  </si>
  <si>
    <t>申請者　会社名+役職+名前　ひとつのセルに表示</t>
  </si>
  <si>
    <t>cst_shinsei_APPLICANT_POST</t>
  </si>
  <si>
    <t>cst_shinsei_APPLICANT_NAME</t>
  </si>
  <si>
    <t>cst_shinsei_APPLICANT_ZIP</t>
  </si>
  <si>
    <t>cst_shinsei_APPLICANT__address</t>
  </si>
  <si>
    <t>cst_shinsei_APPLICANT_TEL</t>
  </si>
  <si>
    <t>cst_shinsei_APPLICANT_name_all</t>
  </si>
  <si>
    <t>代表取締役　　中　川　　秀　夫</t>
  </si>
  <si>
    <t>cst_shinsei_CHARGE_ID__meisai06_SYOUKEI</t>
  </si>
  <si>
    <t>cst_shinsei_CHARGE_ID__meisai07_SURYOU</t>
  </si>
  <si>
    <t>cst_shinsei_CHARGE_ID__meisai07_TANKA</t>
  </si>
  <si>
    <t>cst_shinsei_CHARGE_ID__meisai07_SYOUKEI</t>
  </si>
  <si>
    <t>cst_shinsei_CHARGE_ID__meisai08_SURYOU</t>
  </si>
  <si>
    <t>cst_shinsei_DAIRI_NAME</t>
  </si>
  <si>
    <t>**shinsei_DAIRI_NAME</t>
  </si>
  <si>
    <t>氏名</t>
  </si>
  <si>
    <t>cst_shinsei_DAIRI_JIMU_NAME</t>
  </si>
  <si>
    <t>**shinsei_DAIRI_JIMU_NAME</t>
  </si>
  <si>
    <t>会社名</t>
  </si>
  <si>
    <t>代理者</t>
  </si>
  <si>
    <t>cst_shinsei_ev_TIKUZOUMENSEKI_SHINSEI__minus</t>
  </si>
  <si>
    <t>cst_shinsei_build_KAISU_TIKA_SHINSEI__minus</t>
  </si>
  <si>
    <t>charge_BASE_DATE</t>
  </si>
  <si>
    <t>請求発生日（手数料詳細）</t>
  </si>
  <si>
    <t>cst_shinsei_CHARGE_ID__meisai10_SURYOU</t>
  </si>
  <si>
    <t>cst_shinsei_strtuikaimposs1_STRUCT_NOTIFT_NO</t>
  </si>
  <si>
    <t>cst_shinsei_strtuikaimposs1_STRUCT_TUIKA_DATE</t>
  </si>
  <si>
    <t>cst_shinsei_strtuikaimposs1_STRUCTTUIKA_NOTIFT_DATE</t>
  </si>
  <si>
    <t>cst_shinsei_imposs2_NOTIFY_DATE</t>
  </si>
  <si>
    <t>cst_shinsei_imposs2_NOTIFY_LIMIT_DATE</t>
  </si>
  <si>
    <t>cst_shinsei_imposs2_NOTIFY_CAUSE</t>
  </si>
  <si>
    <t>cst_city_KEN1_PUBLIC_OFFICE_ID__FAX</t>
  </si>
  <si>
    <t>cst_city_KEN1_PUBLIC_OFFICE_ID__SYUJI_NAME</t>
  </si>
  <si>
    <t>cst_city_KEN1_PUBLIC_OFFICE_ID__GYOUSEI_NAME</t>
  </si>
  <si>
    <t>cst_city_KEN2_PUBLIC_OFFICE_ID__NAME</t>
  </si>
  <si>
    <t>cst_city_KEN2_PUBLIC_OFFICE_ID__DEPART_NAME</t>
  </si>
  <si>
    <t>cst_charge_strtower09_CHARGE</t>
  </si>
  <si>
    <t>cst_charge_strtower09_CHARGE_WARIMASHI</t>
  </si>
  <si>
    <t>cst_charge_strtower09_CHARGE_TOTAL</t>
  </si>
  <si>
    <t>cst_charge_strtower09_CHARGE__ctrl</t>
  </si>
  <si>
    <t>cst_charge_strtower10_CHARGE</t>
  </si>
  <si>
    <t>cst_charge_strtower10_CHARGE_WARIMASHI</t>
  </si>
  <si>
    <t>cst_charge_strtower10_CHARGE_TOTAL</t>
  </si>
  <si>
    <t>cst_charge_strtower10_CHARGE__ctrl</t>
  </si>
  <si>
    <t>cst_charge_strtower11_CHARGE</t>
  </si>
  <si>
    <t>cst_charge_strtower11_CHARGE_WARIMASHI</t>
  </si>
  <si>
    <t>**prule_ev_ev</t>
  </si>
  <si>
    <t>**prule_ev_parcel</t>
  </si>
  <si>
    <t>**prule_ev_homeev</t>
  </si>
  <si>
    <t>**prule_office_1c</t>
  </si>
  <si>
    <t>**prule_office_2c</t>
  </si>
  <si>
    <t>**prule_office_3c</t>
  </si>
  <si>
    <t>**prule_office_1s</t>
  </si>
  <si>
    <t>**prule_office_3s</t>
  </si>
  <si>
    <t>**prule_office_2s</t>
  </si>
  <si>
    <t>**prule_office_2t</t>
  </si>
  <si>
    <t>**prule_office_3t</t>
  </si>
  <si>
    <t>**prule_ken_01</t>
  </si>
  <si>
    <t>**prule_ken_02</t>
  </si>
  <si>
    <t>**prule_ken_03</t>
  </si>
  <si>
    <t>**prule_ken_04</t>
  </si>
  <si>
    <t>**prule_ken_05</t>
  </si>
  <si>
    <t>**prule_ken_06</t>
  </si>
  <si>
    <t>**prule_ken_07</t>
  </si>
  <si>
    <t>**prule_ken_08</t>
  </si>
  <si>
    <t>**prule_ken_09</t>
  </si>
  <si>
    <t>**prule_ken_10</t>
  </si>
  <si>
    <t>**prule_ken_11</t>
  </si>
  <si>
    <t>**prule_ken_12</t>
  </si>
  <si>
    <t>**prule_ken_13</t>
  </si>
  <si>
    <t>**prule_ken_14</t>
  </si>
  <si>
    <t>**prule_ken_15</t>
  </si>
  <si>
    <t>**prule_ken_16</t>
  </si>
  <si>
    <t>**prule_ken_17</t>
  </si>
  <si>
    <t>**prule_ken_18</t>
  </si>
  <si>
    <t>**prule_ken_19</t>
  </si>
  <si>
    <t>**prule_ken_20</t>
  </si>
  <si>
    <t>**prule_ken_21</t>
  </si>
  <si>
    <t>cst_kakaru_shinsei_HIKIUKE_DATE__ee</t>
  </si>
  <si>
    <t>係る確認の引受日 - 月</t>
  </si>
  <si>
    <t>リストボックス用リンク先</t>
  </si>
  <si>
    <t>cst_CORP_INFO__list_box_ctrl__</t>
  </si>
  <si>
    <t>cst_PRESENTER_CORPTYPE__</t>
  </si>
  <si>
    <t>cst_PRESENTER_CORP__</t>
  </si>
  <si>
    <t>cst_PRESENTER_DAIHYOSYA__</t>
  </si>
  <si>
    <t>住所1</t>
  </si>
  <si>
    <t>cst_city_FIRE_STATION_ID__DEST_NAME</t>
  </si>
  <si>
    <t>保健所名</t>
  </si>
  <si>
    <t>行政報告先番号</t>
  </si>
  <si>
    <t>**shinsei_REPORT_DEST_KIND</t>
  </si>
  <si>
    <t>1：区市町村, 2：都道府県情報-1, 3：都道府県情報-2</t>
  </si>
  <si>
    <t>**shinsei_CHARGE_ID__RECEIPT_DATE</t>
  </si>
  <si>
    <t>cst_shinsei_CHARGE_ID__RECEIPT_TO__add_sama</t>
  </si>
  <si>
    <t>様付</t>
  </si>
  <si>
    <t>cst_shinsei_KOUZOU_TANTO</t>
  </si>
  <si>
    <t>社内構造三次担当者</t>
  </si>
  <si>
    <t>社内設備一次担当者</t>
  </si>
  <si>
    <t>社内設備二次担当者</t>
  </si>
  <si>
    <t>社内設備三次担当者</t>
  </si>
  <si>
    <t>■ ログイン情報</t>
  </si>
  <si>
    <t>■ 帳票発行者名、履歴管理</t>
  </si>
  <si>
    <t>◇ 大規模用</t>
  </si>
  <si>
    <t>住所１</t>
  </si>
  <si>
    <t>住所２</t>
  </si>
  <si>
    <t>CTRL</t>
  </si>
  <si>
    <t>代表者</t>
  </si>
  <si>
    <t>cst_CORP_INFO__list_box_ctrl__Jizen</t>
  </si>
  <si>
    <t>cst_PRESENTER_CORPTYPE__Jizen</t>
  </si>
  <si>
    <t>cst_PRESENTER_CORP__Jizen</t>
  </si>
  <si>
    <t>cst_PRESENTER_DAIHYOSYA__Jizen</t>
  </si>
  <si>
    <t>cst_CORP_INFO__list_box_ctrl__Hikiuke</t>
  </si>
  <si>
    <t>cst_PRESENTER_CORPTYPE__Hikiuke</t>
  </si>
  <si>
    <t>cst_PRESENTER_CORP__Hikiuke</t>
  </si>
  <si>
    <t>cst_PRESENTER_DAIHYOSYA__Hikiuke</t>
  </si>
  <si>
    <t>cst_CORP_INFO__list_box_ctrl__HikiukeTuuchi</t>
  </si>
  <si>
    <t>cst_PRESENTER_CORPTYPE__HikiukeTuuchi</t>
  </si>
  <si>
    <t>工作物：高さ（ＭＡＸ）</t>
  </si>
  <si>
    <t>工作物：高さ（基本）</t>
  </si>
  <si>
    <t>1, 2</t>
  </si>
  <si>
    <t>遠隔地の判定</t>
  </si>
  <si>
    <t>cst_Area_Select</t>
  </si>
  <si>
    <t>工事施工者</t>
  </si>
  <si>
    <t>営業所名</t>
  </si>
  <si>
    <t>氏名</t>
  </si>
  <si>
    <t>所在地</t>
  </si>
  <si>
    <t>電話番号</t>
  </si>
  <si>
    <t>cst_shinsei_build_NOBE_MENSEKI_BILL_SHINSEI_IGAI__zero</t>
  </si>
  <si>
    <t>円, 円也</t>
  </si>
  <si>
    <t>● Progress</t>
  </si>
  <si>
    <t>cst_shinsei_KOUZOU_TANTO2</t>
  </si>
  <si>
    <t>通知書・報告書（共通）（改行）</t>
  </si>
  <si>
    <t>cst_shinsei_ISSUE_KOUFU_NAME__code</t>
  </si>
  <si>
    <t>cst_shinsei__REPORT_KAKU_SUMI_KOUFU_NAME</t>
  </si>
  <si>
    <t>仮受付日</t>
  </si>
  <si>
    <t>仮受付日 - 年</t>
  </si>
  <si>
    <t>仮受付日 - 月</t>
  </si>
  <si>
    <t>仮受付日 - 日</t>
  </si>
  <si>
    <t>cst_shinsei_ACCEPT_DATE</t>
  </si>
  <si>
    <t>cst_shinsei_HIKIUKE_DATE</t>
  </si>
  <si>
    <t>cst_shinsei_KAKUNINZUMI_HOUKOKU_GYOSEI_DATE</t>
  </si>
  <si>
    <t>cst_kakaru_shinsei_ACCEPT_DATE</t>
  </si>
  <si>
    <t>cst_shinsei_strtuikaimposs6_STRUCT_NOTIFT_DATE</t>
  </si>
  <si>
    <t>cst_shinsei_strtuikaimposs6_STRUCT_NOTIFT_NO</t>
  </si>
  <si>
    <t>cst_charge_strtower04_CHARGE</t>
  </si>
  <si>
    <t>cst_charge_strtower04_CHARGE_WARIMASHI</t>
  </si>
  <si>
    <t>cst_charge_strtower04_CHARGE_TOTAL</t>
  </si>
  <si>
    <t>cst_charge_strtower04_CHARGE__ctrl</t>
  </si>
  <si>
    <t>cst_charge_strtower05_CHARGE</t>
  </si>
  <si>
    <t>cst_charge_strtower05_CHARGE_WARIMASHI</t>
  </si>
  <si>
    <t>cst_charge_strtower05_CHARGE_TOTAL</t>
  </si>
  <si>
    <t>cst_charge_strtower05_CHARGE__ctrl</t>
  </si>
  <si>
    <t>株式会社　近畿建築確認検査機構</t>
  </si>
  <si>
    <t>大阪府大阪市中央区農人橋二丁目1番10号</t>
  </si>
  <si>
    <t>大阪建築会館7階</t>
  </si>
  <si>
    <t>建築主　役職+氏名（役職が入っていれば　スペース）</t>
  </si>
  <si>
    <t>cst_owner1_POSTname</t>
  </si>
  <si>
    <t>cst_owner2_POSTname</t>
  </si>
  <si>
    <t>cst_owner3_POSTname</t>
  </si>
  <si>
    <t>cst_owner4_POSTname</t>
  </si>
  <si>
    <t>cst_owner5_POSTname</t>
  </si>
  <si>
    <t>cst_owner6_POSTname</t>
  </si>
  <si>
    <t>確認済証交付年月日</t>
  </si>
  <si>
    <t>cst_shinsei__REPORT_KAKU_SUMI_KOUFU_DATE</t>
  </si>
  <si>
    <t>cst_shinsei__REPORT_KAKU_SUMI_KOUFU_DATE__disp</t>
  </si>
  <si>
    <t>行政庁情報</t>
  </si>
  <si>
    <t>事務所１</t>
  </si>
  <si>
    <t>事務所２(主にEV)</t>
  </si>
  <si>
    <t>都道府県庁</t>
  </si>
  <si>
    <t>送付先名称</t>
  </si>
  <si>
    <t>部署名</t>
  </si>
  <si>
    <t>ＦＡＸ番号</t>
  </si>
  <si>
    <t>建築主事名</t>
  </si>
  <si>
    <t>特定行政庁名</t>
  </si>
  <si>
    <t>工事完了予定年月日</t>
  </si>
  <si>
    <t>◇ 確認・中間</t>
  </si>
  <si>
    <t>**shinsei_KOUJI_KANRYOU_DATE</t>
  </si>
  <si>
    <t>cst_shinsei_KOUJI_KANRYOU_DATE</t>
  </si>
  <si>
    <t>date</t>
  </si>
  <si>
    <t>◇ 完了</t>
  </si>
  <si>
    <t>**shinsei_hosei6_STRUCTTUIKA_DOCNO</t>
  </si>
  <si>
    <t>**shinsei_hosei6_STRUCTNOTIFT_HENKOU_LIMIT_DATE</t>
  </si>
  <si>
    <t>**shinsei_hosei6_BIKO</t>
  </si>
  <si>
    <t>● 回数7</t>
  </si>
  <si>
    <t>**shinsei_hosei7_NOTIFY_DATE</t>
  </si>
  <si>
    <t>**shinsei_hosei7_NOTIFY_DOCNO</t>
  </si>
  <si>
    <t>**shinsei_hosei7_KENSAIN_USER_ID</t>
  </si>
  <si>
    <t>**shinsei_hosei7_LIMIT_DATE</t>
  </si>
  <si>
    <t>**shinsei_hosei7_ANSWER_DATE</t>
  </si>
  <si>
    <t>**shinsei_hosei7_NOTIFY_NOTE</t>
  </si>
  <si>
    <t>**shinsei_hosei7_NOTIFY_SOUFU_SAKI</t>
  </si>
  <si>
    <t>**shinsei_hosei7_STRUCTNOTIFT_USE</t>
  </si>
  <si>
    <t>**shinsei_hosei7_STRUCTNOTIFT_NOTIFT_DATE</t>
  </si>
  <si>
    <t>**shinsei_hosei7_STRUCTNOTIFT_NOTIFT_NO</t>
  </si>
  <si>
    <t>**shinsei_hosei7_STRUCTNOTIFT_TOUTYAKU_MEMO</t>
  </si>
  <si>
    <t>**shinsei_hosei7_STRUCTNOTIFT_BIKO</t>
  </si>
  <si>
    <t>**shinsei_hosei7_STRUCTNOTIFT_TUIKA_DATE</t>
  </si>
  <si>
    <t>**shinsei_hosei7_STRUCTNOTIFT_DOCNO</t>
  </si>
  <si>
    <t>**shinsei_hosei7_STRUCTTUIKA_NOTIFT_DATE</t>
  </si>
  <si>
    <t>**shinsei_hosei7_STRUCTNOTIFT_HENKOU_NOTIFT_DATE</t>
  </si>
  <si>
    <t>**shinsei_hosei7_STRUCTTUIKA_DOCNO</t>
  </si>
  <si>
    <t>**shinsei_hosei7_STRUCTNOTIFT_HENKOU_LIMIT_DATE</t>
  </si>
  <si>
    <t>**shinsei_hosei7_BIKO</t>
  </si>
  <si>
    <t>● 回数8</t>
  </si>
  <si>
    <t>**shinsei_hosei8_NOTIFY_DATE</t>
  </si>
  <si>
    <t>**shinsei_hosei8_NOTIFY_DOCNO</t>
  </si>
  <si>
    <t>**shinsei_hosei8_KENSAIN_USER_ID</t>
  </si>
  <si>
    <t>**shinsei_hosei8_LIMIT_DATE</t>
  </si>
  <si>
    <t>**shinsei_hosei8_ANSWER_DATE</t>
  </si>
  <si>
    <t>**shinsei_hosei8_NOTIFY_NOTE</t>
  </si>
  <si>
    <t>**shinsei_hosei8_NOTIFY_SOUFU_SAKI</t>
  </si>
  <si>
    <t>**shinsei_hosei8_STRUCTNOTIFT_USE</t>
  </si>
  <si>
    <t>**shinsei_hosei8_STRUCTNOTIFT_NOTIFT_DATE</t>
  </si>
  <si>
    <t>**shinsei_hosei8_STRUCTNOTIFT_NOTIFT_NO</t>
  </si>
  <si>
    <t>**shinsei_hosei8_STRUCTNOTIFT_TOUTYAKU_MEMO</t>
  </si>
  <si>
    <t>**shinsei_hosei8_STRUCTNOTIFT_BIKO</t>
  </si>
  <si>
    <t>**shinsei_hosei8_STRUCTNOTIFT_TUIKA_DATE</t>
  </si>
  <si>
    <t>**shinsei_hosei8_STRUCTNOTIFT_DOCNO</t>
  </si>
  <si>
    <t>**shinsei_hosei8_STRUCTTUIKA_NOTIFT_DATE</t>
  </si>
  <si>
    <t>**shinsei_hosei8_STRUCTNOTIFT_HENKOU_NOTIFT_DATE</t>
  </si>
  <si>
    <t>**shinsei_hosei8_STRUCTTUIKA_DOCNO</t>
  </si>
  <si>
    <t>**shinsei_hosei8_STRUCTNOTIFT_HENKOU_LIMIT_DATE</t>
  </si>
  <si>
    <t>選択（決定しきれない）：ブランク&lt;Excelシートで選択してください&gt;（例：町域、番地でも不確かな場合など。実際東京都では実在する。後、旧***町等は決定できない分類にはいる）</t>
  </si>
  <si>
    <t>条件（4号, 住宅, 3000以上）：条件に合致しない場合の所轄消防署情報を登録</t>
  </si>
  <si>
    <t>cst_shinsei_CHARGE_ID__RECEIPT_TO</t>
  </si>
  <si>
    <t>受付番号の　Ｈ●●　部分と　シリアル番号　４桁を表示</t>
  </si>
  <si>
    <t>■　保健所通知</t>
  </si>
  <si>
    <t>■　エラーチェック</t>
  </si>
  <si>
    <t>■　領収書</t>
  </si>
  <si>
    <t>cst_Receipt_No</t>
  </si>
  <si>
    <t>**shinsei_hosei8_BIKO</t>
  </si>
  <si>
    <t>● 回数9</t>
  </si>
  <si>
    <t>**shinsei_hosei9_NOTIFY_DATE</t>
  </si>
  <si>
    <t>**shinsei_hosei9_NOTIFY_DOCNO</t>
  </si>
  <si>
    <t>**shinsei_hosei9_KENSAIN_USER_ID</t>
  </si>
  <si>
    <t>**shinsei_hosei9_LIMIT_DATE</t>
  </si>
  <si>
    <t>**shinsei_hosei9_ANSWER_DATE</t>
  </si>
  <si>
    <t>**shinsei_hosei9_NOTIFY_NOTE</t>
  </si>
  <si>
    <t>**shinsei_hosei9_NOTIFY_SOUFU_SAKI</t>
  </si>
  <si>
    <t>**shinsei_hosei9_STRUCTNOTIFT_USE</t>
  </si>
  <si>
    <t>**shinsei_hosei9_STRUCTNOTIFT_NOTIFT_DATE</t>
  </si>
  <si>
    <t>**shinsei_hosei9_STRUCTNOTIFT_NOTIFT_NO</t>
  </si>
  <si>
    <t>**shinsei_hosei9_STRUCTNOTIFT_TOUTYAKU_MEMO</t>
  </si>
  <si>
    <t>**shinsei_hosei9_STRUCTNOTIFT_BIKO</t>
  </si>
  <si>
    <t>**shinsei_hosei9_STRUCTNOTIFT_TUIKA_DATE</t>
  </si>
  <si>
    <t>**shinsei_hosei9_STRUCTNOTIFT_DOCNO</t>
  </si>
  <si>
    <t>**shinsei_hosei9_STRUCTTUIKA_NOTIFT_DATE</t>
  </si>
  <si>
    <t>**shinsei_hosei9_STRUCTNOTIFT_HENKOU_NOTIFT_DATE</t>
  </si>
  <si>
    <t>**shinsei_hosei9_STRUCTTUIKA_DOCNO</t>
  </si>
  <si>
    <t>**shinsei_hosei9_STRUCTNOTIFT_HENKOU_LIMIT_DATE</t>
  </si>
  <si>
    <t>**shinsei_hosei9_BIKO</t>
  </si>
  <si>
    <t>● 回数10</t>
  </si>
  <si>
    <t>**shinsei_hosei10_NOTIFY_DATE</t>
  </si>
  <si>
    <t>**shinsei_hosei10_NOTIFY_DOCNO</t>
  </si>
  <si>
    <t>**shinsei_hosei10_KENSAIN_USER_ID</t>
  </si>
  <si>
    <t>**shinsei_hosei10_LIMIT_DATE</t>
  </si>
  <si>
    <t>**shinsei_hosei10_ANSWER_DATE</t>
  </si>
  <si>
    <t>**shinsei_hosei10_NOTIFY_NOTE</t>
  </si>
  <si>
    <t>**shinsei_hosei10_NOTIFY_SOUFU_SAKI</t>
  </si>
  <si>
    <t>**shinsei_hosei10_STRUCTNOTIFT_USE</t>
  </si>
  <si>
    <t>**shinsei_hosei10_STRUCTNOTIFT_NOTIFT_DATE</t>
  </si>
  <si>
    <t>cst_RENRAKUSAKI_KOUZOU_TANTOU</t>
  </si>
  <si>
    <t>リストボックスのリンク先</t>
  </si>
  <si>
    <t>cst_RENRAKUSAKI_KOUZOU_TANTOU_LinkCell</t>
  </si>
  <si>
    <t>リスト範囲</t>
  </si>
  <si>
    <t>cst_RENRAKUSAKI_KOUZOU_TANTOU_Erea</t>
  </si>
  <si>
    <t>← システムで設定した社内担当者とリンクしている。</t>
  </si>
  <si>
    <t>安藤　一弘</t>
  </si>
  <si>
    <t>ando@hlpa.or.jp</t>
  </si>
  <si>
    <t>ここから手入力した担当者</t>
  </si>
  <si>
    <t>cst_RENRAKUSAKI_KOUZOU_TANTOU_EMAILcheck_Erea</t>
  </si>
  <si>
    <t>検査員</t>
  </si>
  <si>
    <t>**shinsei_KAKUNINZUMI_KENSAIN</t>
  </si>
  <si>
    <t>**shinsei_HOUKOKU_DATE</t>
  </si>
  <si>
    <t>**shinsei_KENSA_RESULT</t>
  </si>
  <si>
    <t>鎌が谷市</t>
  </si>
  <si>
    <t>鎌ｹ谷市</t>
  </si>
  <si>
    <t>鎌ケ谷市</t>
  </si>
  <si>
    <t>鎌ヶ谷市</t>
  </si>
  <si>
    <t>市町村</t>
  </si>
  <si>
    <t>● 決定した建築審査会の場所</t>
  </si>
  <si>
    <t>cst_SHINSAKAI__city_search</t>
  </si>
  <si>
    <t>○ 市町村一覧検索</t>
  </si>
  <si>
    <t>cst_SHINSAKAI__base_point</t>
  </si>
  <si>
    <t>○ offset使用時の基点</t>
  </si>
  <si>
    <t>cst_SHINSAKAI__city_area</t>
  </si>
  <si>
    <t>○ 市町村登録範囲</t>
  </si>
  <si>
    <t>※鎌ヶ谷市の表記が分かれる事を想定し名称を複数登録した。</t>
  </si>
  <si>
    <t>限定特定行政庁で４号物件の時に審査会を市区町村で行う地域の処理</t>
  </si>
  <si>
    <t>特定行政庁及び特別区：市区町村, その他：都道府県, 限定特定行政庁：都道府県</t>
  </si>
  <si>
    <t>■ 建築審査会処理</t>
  </si>
  <si>
    <t>cst_SHINSAKAI</t>
  </si>
  <si>
    <t>スペースを除く</t>
  </si>
  <si>
    <t>■ 審査請求用（訴訟先）</t>
  </si>
  <si>
    <t>cst_Suit_config_PRESENTER_CORP</t>
  </si>
  <si>
    <t>cst_Suit_config_PRESENTER_DAIHYOSYA</t>
  </si>
  <si>
    <t>**shinsei_build_STAT_HOU6_1</t>
  </si>
  <si>
    <t>cst_shinsei_build_STAT_HOU6</t>
  </si>
  <si>
    <t>(１号, 1号(１号＋２号）, １号（１号＋３号）, ２号, ３号, ４号, １号を含まない特殊建築物)</t>
  </si>
  <si>
    <t>■ 所轄行政決定処理</t>
  </si>
  <si>
    <t>shinsei_REPORT_DEST_GYOUSEI_KIND__base_point</t>
  </si>
  <si>
    <t>○ 県庁オプションの考慮</t>
  </si>
  <si>
    <t>shinsei_REPORT_DEST_GYOUSEI_KIND__base</t>
  </si>
  <si>
    <t>市町村：1, 事務所1：2, 事務所2：3, 県庁：4</t>
  </si>
  <si>
    <t>県庁オプションにチェックがある場合は県庁情報を用いる。</t>
  </si>
  <si>
    <t>cst_shinsei_owner2_NAME_KANA</t>
  </si>
  <si>
    <t>cst_shinsei_owner2_POST</t>
  </si>
  <si>
    <t>cst_shinsei_owner2_NAME</t>
  </si>
  <si>
    <t>cst_shinsei_owner2_POST_CODE</t>
  </si>
  <si>
    <t>cst_shinsei_owner2__address</t>
  </si>
  <si>
    <t>cst_shinsei_owner2_TEL</t>
  </si>
  <si>
    <t>cst_shinsei_owner3_CORP</t>
  </si>
  <si>
    <t>cst_shinsei_owner3_NAME_KANA</t>
  </si>
  <si>
    <t>cst_shinsei_owner3_POST</t>
  </si>
  <si>
    <t>cst_shinsei_owner3_NAME</t>
  </si>
  <si>
    <t>cst_shinsei_owner3_POST_CODE</t>
  </si>
  <si>
    <t>cst_shinsei_owner3__address</t>
  </si>
  <si>
    <t>cst_shinsei_owner3_TEL</t>
  </si>
  <si>
    <t>cst_shinsei_owner4_CORP</t>
  </si>
  <si>
    <t>cst_shinsei_owner4_NAME_KANA</t>
  </si>
  <si>
    <t>cst_shinsei_owner4_POST</t>
  </si>
  <si>
    <t>cst_shinsei_owner4_NAME</t>
  </si>
  <si>
    <t>cst_shinsei_owner4_POST_CODE</t>
  </si>
  <si>
    <t>cst_shinsei_owner4__address</t>
  </si>
  <si>
    <t>cst_shinsei_owner4_TEL</t>
  </si>
  <si>
    <t>cst_shinsei_owner5_CORP</t>
  </si>
  <si>
    <t>cst_shinsei_owner5_NAME_KANA</t>
  </si>
  <si>
    <t>cst_shinsei_owner5_POST</t>
  </si>
  <si>
    <t>cst_shinsei_owner5_NAME</t>
  </si>
  <si>
    <t>cst_shinsei_owner5_POST_CODE</t>
  </si>
  <si>
    <t>cst_shinsei_owner5__address</t>
  </si>
  <si>
    <t>cst_shinsei_owner5_TEL</t>
  </si>
  <si>
    <t>cst_shinsei_owner6_CORP</t>
  </si>
  <si>
    <t>cst_shinsei_owner6_NAME_KANA</t>
  </si>
  <si>
    <t>cst_shinsei_owner6_POST</t>
  </si>
  <si>
    <t>cst_shinsei_owner6_NAME</t>
  </si>
  <si>
    <t>cst_shinsei_owner6_POST_CODE</t>
  </si>
  <si>
    <t>cst_shinsei_owner6__address</t>
  </si>
  <si>
    <t>cst_charge_income01_INCOME_MONEY</t>
  </si>
  <si>
    <t>cst_charge_income02_INCOME_MONEY</t>
  </si>
  <si>
    <t>cst_charge_income03_INCOME_MONEY</t>
  </si>
  <si>
    <t>■</t>
  </si>
  <si>
    <t>**prule_ken_22</t>
  </si>
  <si>
    <t>**prule_ken_23</t>
  </si>
  <si>
    <t>**prule_ken_24</t>
  </si>
  <si>
    <t>**prule_ken_25</t>
  </si>
  <si>
    <t>法不適合時の事由</t>
  </si>
  <si>
    <t>前処理（交付不可系時に出力）</t>
  </si>
  <si>
    <t>理由欄に記載ある場合は優先する</t>
  </si>
  <si>
    <t>cst_shinsei__REPORT_CAUSE</t>
  </si>
  <si>
    <t>cst_shinsei__NOTIFY_CAUSE_REPORT_CAUSE</t>
  </si>
  <si>
    <t>**shinsei_CHARGE_ID__cust__caption</t>
  </si>
  <si>
    <t>電話番号</t>
  </si>
  <si>
    <t>**shinsei_CHARGE_ID__cust__tel</t>
  </si>
  <si>
    <t>● 決定した適判 会社名＋代表者名</t>
  </si>
  <si>
    <t>● 決定した適判 会社名＋代表者名（改行）</t>
  </si>
  <si>
    <t>決定した構造責任者名</t>
  </si>
  <si>
    <t>■ 決定した適判 会社名＋代表者名</t>
  </si>
  <si>
    <t>■ 決定した適判 会社名＋代表者名（改行）</t>
  </si>
  <si>
    <t>延長通知日</t>
  </si>
  <si>
    <t>適判への取下日</t>
  </si>
  <si>
    <t>適判への追加図書通知日</t>
  </si>
  <si>
    <t>追加説明提出日変更通知日</t>
  </si>
  <si>
    <t>報告日（交付・交付不可共通）（確認結果報告書用）</t>
  </si>
  <si>
    <t>● 決定した適判 会社名＋代表者名（様付）</t>
  </si>
  <si>
    <t>● 決定した適判 会社名＋代表者名（改行）（様付）</t>
  </si>
  <si>
    <t>決定した代表者名</t>
  </si>
  <si>
    <t>機関名範囲</t>
  </si>
  <si>
    <t>cst_JUDGE_OFFICE__name_area</t>
  </si>
  <si>
    <t>機関名の登録範囲</t>
  </si>
  <si>
    <t>位置調整用加算数値</t>
  </si>
  <si>
    <t>cst_JUDGE_OFFICE__add_num</t>
  </si>
  <si>
    <t>処理用適判記号</t>
  </si>
  <si>
    <t>検索結果の位置を特定するため、適判毎の記号をセル名でつける。</t>
  </si>
  <si>
    <t>機関毎の日付範囲</t>
  </si>
  <si>
    <t>適判名最終検索用、基準位置</t>
  </si>
  <si>
    <t>記号</t>
  </si>
  <si>
    <t>機関名</t>
  </si>
  <si>
    <t>構造責任者</t>
  </si>
  <si>
    <t>略名・記号</t>
  </si>
  <si>
    <t>財団法人 日本建築センター</t>
  </si>
  <si>
    <t>理事長 立石　真</t>
  </si>
  <si>
    <t>構造判定部長　　塚田　市朗</t>
  </si>
  <si>
    <t>住宅金融普及協会</t>
  </si>
  <si>
    <t>確認サービス</t>
  </si>
  <si>
    <t>日本建築ｾﾝﾀ</t>
  </si>
  <si>
    <t>Add</t>
  </si>
  <si>
    <t>財団法人 日本建築設備・昇降機センター</t>
  </si>
  <si>
    <t>理事長 宮地　謙一</t>
  </si>
  <si>
    <t>建築場所</t>
  </si>
  <si>
    <t>地名地番</t>
  </si>
  <si>
    <t>cst_shinsei_build_address</t>
  </si>
  <si>
    <t>住居表示</t>
  </si>
  <si>
    <t>cst_shinsei_build_JYUKYO__address</t>
  </si>
  <si>
    <t>請求発生日</t>
  </si>
  <si>
    <t>cst_charge_BASE_DATE</t>
  </si>
  <si>
    <t>●</t>
  </si>
  <si>
    <t>請求先</t>
  </si>
  <si>
    <t>cst_charge_cust__caption</t>
  </si>
  <si>
    <t>txt</t>
  </si>
  <si>
    <t>手数料</t>
  </si>
  <si>
    <t>cst_charge_RECEIPT_PRICE</t>
  </si>
  <si>
    <t>金額</t>
  </si>
  <si>
    <t>代表者</t>
  </si>
  <si>
    <t>住所</t>
  </si>
  <si>
    <t>cst_charge_strtower06_CHARGE</t>
  </si>
  <si>
    <t>cst_charge_strtower06_CHARGE_WARIMASHI</t>
  </si>
  <si>
    <t>cst_charge_strtower06_CHARGE_TOTAL</t>
  </si>
  <si>
    <t>cst_charge_strtower06_CHARGE__ctrl</t>
  </si>
  <si>
    <t>cst_charge_strtower07_CHARGE</t>
  </si>
  <si>
    <t>cst_charge_strtower07_CHARGE_WARIMASHI</t>
  </si>
  <si>
    <t>cst_charge_strtower07_CHARGE_TOTAL</t>
  </si>
  <si>
    <t>cst_charge_strtower07_CHARGE__ctrl</t>
  </si>
  <si>
    <t>cst_charge_strtower08_CHARGE</t>
  </si>
  <si>
    <t>cst_charge_strtower08_CHARGE_WARIMASHI</t>
  </si>
  <si>
    <t>cst_charge_strtower08_CHARGE_TOTAL</t>
  </si>
  <si>
    <t>cst_charge_strtower08_CHARGE__ctrl</t>
  </si>
  <si>
    <t>**shinsei_owner8_POST</t>
  </si>
  <si>
    <t>**shinsei_owner8_NAME</t>
  </si>
  <si>
    <t>**shinsei_owner8_POST_CODE</t>
  </si>
  <si>
    <t>**shinsei_owner8__address</t>
  </si>
  <si>
    <t>**shinsei_owner8_TEL</t>
  </si>
  <si>
    <t>建築主９</t>
  </si>
  <si>
    <t>**shinsei_owner9_CORP</t>
  </si>
  <si>
    <t>**shinsei_owner9_NAME_KANA</t>
  </si>
  <si>
    <t>**shinsei_owner9_POST</t>
  </si>
  <si>
    <t>**shinsei_owner9_NAME</t>
  </si>
  <si>
    <t>**shinsei_owner9_POST_CODE</t>
  </si>
  <si>
    <t>**shinsei_owner9__address</t>
  </si>
  <si>
    <t>**shinsei_owner9_TEL</t>
  </si>
  <si>
    <t>cst_shinsei_NUSHI_CORP</t>
  </si>
  <si>
    <t>cst_shinsei_NUSHI_NAME_KANA</t>
  </si>
  <si>
    <t>cst_shinsei_NUSHI_POST</t>
  </si>
  <si>
    <t>cst_shinsei_NUSHI_NAME</t>
  </si>
  <si>
    <t>cst_shinsei_NUSHI_POST_CODE</t>
  </si>
  <si>
    <t>cst_shinsei_NUSHI__address</t>
  </si>
  <si>
    <t>cst_shinsei_NUSHI_TEL</t>
  </si>
  <si>
    <t>cst_shinsei_owner2_CORP</t>
  </si>
  <si>
    <t>理事長 山崎　善利</t>
  </si>
  <si>
    <t>補正、提出を求める書面：</t>
  </si>
  <si>
    <t>通知年月日</t>
  </si>
  <si>
    <t>文書番号(不要)</t>
  </si>
  <si>
    <t>担当者</t>
  </si>
  <si>
    <t>期限年月日</t>
  </si>
  <si>
    <t>回答日</t>
  </si>
  <si>
    <t>送付先</t>
  </si>
  <si>
    <t>適判－判定できない通知（適判からの通知書）</t>
  </si>
  <si>
    <t>適判 - 判定できない通知 (有効)</t>
  </si>
  <si>
    <t>通知日</t>
  </si>
  <si>
    <t>通知書番号</t>
  </si>
  <si>
    <t>到着メモ</t>
  </si>
  <si>
    <t>提出期限日</t>
  </si>
  <si>
    <t>確認結果文書番号</t>
  </si>
  <si>
    <t>追加説明書の提出（適判へ）</t>
  </si>
  <si>
    <t>変更通知日（提出日(GBRC)）</t>
  </si>
  <si>
    <t>文書番号</t>
  </si>
  <si>
    <t>変更の期限日</t>
  </si>
  <si>
    <t>補正等 - 備考</t>
  </si>
  <si>
    <t>● 回数1</t>
  </si>
  <si>
    <t>**shinsei_hosei1_NOTIFY_DATE</t>
  </si>
  <si>
    <t>**shinsei_hosei1_NOTIFY_DOCNO</t>
  </si>
  <si>
    <t>**shinsei_hosei1_KENSAIN_USER_ID</t>
  </si>
  <si>
    <t>**shinsei_hosei1_LIMIT_DATE</t>
  </si>
  <si>
    <t>**shinsei_hosei1_ANSWER_DATE</t>
  </si>
  <si>
    <t>**shinsei_hosei1_NOTIFY_NOTE</t>
  </si>
  <si>
    <t>**shinsei_hosei1_NOTIFY_SOUFU_SAKI</t>
  </si>
  <si>
    <t>**shinsei_hosei1_STRUCTNOTIFT_USE</t>
  </si>
  <si>
    <t>**shinsei_hosei1_STRUCTNOTIFT_NOTIFT_DATE</t>
  </si>
  <si>
    <t>**shinsei_hosei1_STRUCTNOTIFT_NOTIFT_NO</t>
  </si>
  <si>
    <t>**shinsei_hosei1_STRUCTNOTIFT_TOUTYAKU_MEMO</t>
  </si>
  <si>
    <t>**shinsei_hosei1_STRUCTNOTIFT_BIKO</t>
  </si>
  <si>
    <t>**shinsei_hosei1_STRUCTNOTIFT_TUIKA_DATE</t>
  </si>
  <si>
    <t>**shinsei_hosei1_STRUCTNOTIFT_DOCNO</t>
  </si>
  <si>
    <t>cst_city_KEN_PUBLIC_OFFICE_ID__SYUJI_NAME</t>
  </si>
  <si>
    <t>cst_city_KEN_PUBLIC_OFFICE_ID__GYOUSEI_NAME</t>
  </si>
  <si>
    <t>通知先・報告先処理（Standard ※PackShinsei以前のモード時）</t>
  </si>
  <si>
    <t>※PackShinseiは、Advanced, Evolution, Progress</t>
  </si>
  <si>
    <t>引受通知先（共通）</t>
  </si>
  <si>
    <t>**shinsei_HIKIUKE_TUUTI_SAKI</t>
  </si>
  <si>
    <t>報告先（確認用）</t>
  </si>
  <si>
    <t>**shinsei_KAKUNINZUMI_HOUKOKU_SAKI</t>
  </si>
  <si>
    <t>報告先（中間用）</t>
  </si>
  <si>
    <t>**shinsei_intermediate_HOUKOKU_SAKI</t>
  </si>
  <si>
    <t>報告先（完了用）</t>
  </si>
  <si>
    <t>**shinsei_KAN_HOUKOKU_SAKI</t>
  </si>
  <si>
    <t>1:掛売, 2:現金, 3:振込</t>
  </si>
  <si>
    <t>請求日</t>
  </si>
  <si>
    <t>**shinsei_CHARGE_ID__bill__date</t>
  </si>
  <si>
    <t>領収日</t>
  </si>
  <si>
    <t>cst_shinsei_FIRE_SUBMIT_DATE__disp</t>
  </si>
  <si>
    <t>cst_shinsei_FIRE_NOTIFY_DATE__disp</t>
  </si>
  <si>
    <t>cst_shinsei_HEALTH_NOTIFY_DATE__disp</t>
  </si>
  <si>
    <t>区分</t>
  </si>
  <si>
    <t>cst_shinsei_build_YOUTO_CODE</t>
  </si>
  <si>
    <t>佐賀県</t>
  </si>
  <si>
    <t>長崎県</t>
  </si>
  <si>
    <t>熊本県</t>
  </si>
  <si>
    <t>大分県</t>
  </si>
  <si>
    <t>鹿児島県</t>
  </si>
  <si>
    <t>宮崎県</t>
  </si>
  <si>
    <t>沖縄県</t>
  </si>
  <si>
    <t xml:space="preserve"> </t>
  </si>
  <si>
    <t>不適合</t>
  </si>
  <si>
    <t>28</t>
  </si>
  <si>
    <t>29-1</t>
  </si>
  <si>
    <t>29-2</t>
  </si>
  <si>
    <t>30</t>
  </si>
  <si>
    <t>31</t>
  </si>
  <si>
    <t>32</t>
  </si>
  <si>
    <t>33</t>
  </si>
  <si>
    <t>34</t>
  </si>
  <si>
    <t>39</t>
  </si>
  <si>
    <t>合格</t>
  </si>
  <si>
    <t>鉄筋ｺﾝｸﾘｰﾄ造</t>
  </si>
  <si>
    <t>鉄骨造</t>
  </si>
  <si>
    <t>木造</t>
  </si>
  <si>
    <t>2</t>
  </si>
  <si>
    <t>3</t>
  </si>
  <si>
    <t>08010</t>
  </si>
  <si>
    <t>１</t>
  </si>
  <si>
    <t>1+2</t>
  </si>
  <si>
    <t>1+3</t>
  </si>
  <si>
    <t>２</t>
  </si>
  <si>
    <t>３</t>
  </si>
  <si>
    <t>４</t>
  </si>
  <si>
    <t>Not1</t>
  </si>
  <si>
    <t>該当</t>
  </si>
  <si>
    <t>以外</t>
  </si>
  <si>
    <t>ルート１</t>
  </si>
  <si>
    <t>チェック有</t>
  </si>
  <si>
    <t>（null）</t>
  </si>
  <si>
    <t>**prule_nouse</t>
  </si>
  <si>
    <t>**prule_hidden</t>
  </si>
  <si>
    <t>【ﾛ.確認済証番号】</t>
  </si>
  <si>
    <t>処分の概要</t>
  </si>
  <si>
    <t>【ﾊ.交付年月日】</t>
  </si>
  <si>
    <t>cst_shinsei_HIKIUKE_DATE__disp</t>
  </si>
  <si>
    <t>日付未入力時の表示</t>
  </si>
  <si>
    <t>cst_DISP__date</t>
  </si>
  <si>
    <t>基本</t>
  </si>
  <si>
    <t>cst_shinsei_HIKIUKE_DATE__text</t>
  </si>
  <si>
    <t>行政経由番号</t>
  </si>
  <si>
    <t>cst_shinsei_EV_TYPE</t>
  </si>
  <si>
    <t>昇降機：分類</t>
  </si>
  <si>
    <t>法６条区分（４号判断）</t>
  </si>
  <si>
    <t>10, 12, 13, 2, 3, 4</t>
  </si>
  <si>
    <t>法６条区分（消防署用）</t>
  </si>
  <si>
    <t>１号, 1号(１号＋２号）, １号（１号＋３号）, ２号, ３号, ４号, １号を含まない特殊建築物</t>
  </si>
  <si>
    <t>cst_shinsei_build_STAT_HOU6</t>
  </si>
  <si>
    <t>法６条区分</t>
  </si>
  <si>
    <t>cst_shinsei_REPORT_DEST_KIND</t>
  </si>
  <si>
    <t>特定行政庁, 限定特定行政庁, 特別区, その他</t>
  </si>
  <si>
    <t>cst_city_CITY_KIND</t>
  </si>
  <si>
    <t>cst_shinsei_PREF_OFFICE_FLAG</t>
  </si>
  <si>
    <t>県庁扱い</t>
  </si>
  <si>
    <t>■ 管轄行政庁決定要件</t>
  </si>
  <si>
    <t>係る確認の受付日 - 月</t>
  </si>
  <si>
    <t>cst_DISP__date_ee</t>
  </si>
  <si>
    <t>■ 引受承諾書 ■</t>
  </si>
  <si>
    <t>日付：</t>
  </si>
  <si>
    <t>宛名：</t>
  </si>
  <si>
    <t>発行者 - 住所：</t>
  </si>
  <si>
    <t>発行者 - 住所2：</t>
  </si>
  <si>
    <t>発行者 - 会社名：</t>
  </si>
  <si>
    <t>発行者 - 代表社名：</t>
  </si>
  <si>
    <t>文言：</t>
  </si>
  <si>
    <t>受付番号：</t>
  </si>
  <si>
    <t>引き受けた業務対象：</t>
  </si>
  <si>
    <t>建築物等の区分</t>
  </si>
  <si>
    <t>建築物：</t>
  </si>
  <si>
    <t>建築設備（昇降機）：</t>
  </si>
  <si>
    <t>建築設備（昇降機以外）：</t>
  </si>
  <si>
    <t>工作物（法第88条第１項）：</t>
  </si>
  <si>
    <t>工作物（法第88条第２項）：</t>
  </si>
  <si>
    <t>建築場所：</t>
  </si>
  <si>
    <t>手数料等：</t>
  </si>
  <si>
    <t>■ 確認引受通知書 ■</t>
  </si>
  <si>
    <t>固定</t>
  </si>
  <si>
    <t>建築主：</t>
  </si>
  <si>
    <t>確認申請があった建築物等：</t>
  </si>
  <si>
    <t>確認の引受年月日：</t>
  </si>
  <si>
    <t>特記事項：</t>
  </si>
  <si>
    <t>リンク無</t>
  </si>
  <si>
    <t>連絡先 - 担当者：</t>
  </si>
  <si>
    <t>■ 建築確認業務に関わる道路・敷地状況の照会について ■</t>
  </si>
  <si>
    <t>日付：■ 行政経由日を用いている。これは後から違うセル名で対応になる。（道路・敷地状況発送日）■</t>
  </si>
  <si>
    <t>発行者 - 会社名：■同上■</t>
  </si>
  <si>
    <t>発行者 - 代表社名：■同上■</t>
  </si>
  <si>
    <t>■ 決定することができない旨の通知書 ■</t>
  </si>
  <si>
    <t>番号：</t>
  </si>
  <si>
    <t>本文：</t>
  </si>
  <si>
    <t>理由：</t>
  </si>
  <si>
    <t>期限日：</t>
  </si>
  <si>
    <t>備考：</t>
  </si>
  <si>
    <t>■ 適合しない旨の通知書 ■</t>
  </si>
  <si>
    <t>■ 確認済証 B ■</t>
  </si>
  <si>
    <t>建物名：</t>
  </si>
  <si>
    <t>用途：</t>
  </si>
  <si>
    <t>工事種別：</t>
  </si>
  <si>
    <t>構造：</t>
  </si>
  <si>
    <t>規模</t>
  </si>
  <si>
    <t xml:space="preserve"> - 地下：</t>
  </si>
  <si>
    <t xml:space="preserve"> - 地上：</t>
  </si>
  <si>
    <t>敷地面積：</t>
  </si>
  <si>
    <t>延べ面積</t>
  </si>
  <si>
    <t xml:space="preserve"> - 申請部分：</t>
  </si>
  <si>
    <t xml:space="preserve"> - 申請以外の部分：</t>
  </si>
  <si>
    <t xml:space="preserve"> - 合計：</t>
  </si>
  <si>
    <t>申請棟数：</t>
  </si>
  <si>
    <t>確認を行った確認検査員氏名：</t>
  </si>
  <si>
    <t>構造計算適合性判定の結果を記載した通知書の番号：</t>
  </si>
  <si>
    <t>構造計算適合性判定の結果を記載した通知書の交付年月日：</t>
  </si>
  <si>
    <t>構造計算適合性判定の結果を記載した通知書の交付者：</t>
  </si>
  <si>
    <t>７．前確認済証番号：（計画変更時に表示）</t>
  </si>
  <si>
    <t>計画変更時の元確番号：（計画変更時に表示）</t>
  </si>
  <si>
    <t>cst_shinsei_kouji</t>
  </si>
  <si>
    <t>**shinsei_IMPOSS2_NOTIFY_ID__NOTIFY_CAUSE</t>
  </si>
  <si>
    <t>● 期限付2（確認審査の報告書）</t>
  </si>
  <si>
    <t>**shinsei_IMPOSS2_NOTIFY_ID__REPORT_DATE</t>
  </si>
  <si>
    <t>● 期限付3（適合するかどうかを決定する事が出来ない旨の通知書）</t>
  </si>
  <si>
    <t>**shinsei_IMPOSS3_NOTIFY_ID__NOTIFY_DATE</t>
  </si>
  <si>
    <t>**shinsei_IMPOSS3_NOTIFY_ID__KENSAIN_USER_ID</t>
  </si>
  <si>
    <t>**shinsei_IMPOSS3_NOTIFY_ID__LIMIT_DATE</t>
  </si>
  <si>
    <t>**shinsei_IMPOSS3_NOTIFY_ID__NOTIFY_CAUSE</t>
  </si>
  <si>
    <t>**shinsei_IMPOSS3_NOTIFY_ID__NOTIFY_NOTE</t>
  </si>
  <si>
    <t>● 期限付3（確認審査の報告書）</t>
  </si>
  <si>
    <t>**shinsei_IMPOSS3_NOTIFY_ID__REPORT_DATE</t>
  </si>
  <si>
    <t>● 期限付4（適合するかどうかを決定する事が出来ない旨の通知書）</t>
  </si>
  <si>
    <t>cst_shinsei_CHARGE_ID__DENPYOU_NO</t>
  </si>
  <si>
    <t>cst_shinsei_STR_TOTAL_CHARGE</t>
  </si>
  <si>
    <t>cst_shinsei_ISSUE_NO</t>
  </si>
  <si>
    <t>cst_shinsei_ISSUE_KOUFU_NAME</t>
  </si>
  <si>
    <t>cst_shinsei_KAKUNINZUMI_KENSAIN</t>
  </si>
  <si>
    <t>cst_shinsei_HOUKOKU_DATE</t>
  </si>
  <si>
    <t>cst_shinsei_KENSA_RESULT</t>
  </si>
  <si>
    <t>cst_p2_shinsei_KAKUNINZUMI_KENSAIN</t>
  </si>
  <si>
    <t>txt</t>
  </si>
  <si>
    <t>cst_shinsei_intermediate_CYU1_NITTEI</t>
  </si>
  <si>
    <t>cst_PRESENTER_CORPTYPE__JoukasouTuuchi</t>
  </si>
  <si>
    <t>cst_PRESENTER_CORP__JoukasouTuuchi</t>
  </si>
  <si>
    <t>cst_PRESENTER_DAIHYOSYA__JoukasouTuuchi</t>
  </si>
  <si>
    <t>cst_CORP_INFO__list_box_ctrl__charge_receipt_date</t>
  </si>
  <si>
    <t>cst_PRESENTER_CORPTYPE__charge_receipt_date</t>
  </si>
  <si>
    <t>cst_PRESENTER_CORP__charge_receipt_date</t>
  </si>
  <si>
    <t>cst_PRESENTER_DAIHYOSYA__charge_receipt_date</t>
  </si>
  <si>
    <t>事前審査日</t>
  </si>
  <si>
    <t>仮受付日</t>
  </si>
  <si>
    <t>引受通知日</t>
  </si>
  <si>
    <t>交付日</t>
  </si>
  <si>
    <t>不可通知日</t>
  </si>
  <si>
    <t>報告日（交付・不可）</t>
  </si>
  <si>
    <t>請求日１</t>
  </si>
  <si>
    <t>領収日１</t>
  </si>
  <si>
    <t>請求日２</t>
  </si>
  <si>
    <t>領収日２</t>
  </si>
  <si>
    <t>請求日３</t>
  </si>
  <si>
    <t>領収日３</t>
  </si>
  <si>
    <t>請求日（手数料詳細）</t>
  </si>
  <si>
    <t>領収日（手数料詳細）</t>
  </si>
  <si>
    <t>同意送付日</t>
  </si>
  <si>
    <t>消防通知日</t>
  </si>
  <si>
    <t>浄化槽通知日</t>
  </si>
  <si>
    <t>適判 - 事前通知日</t>
  </si>
  <si>
    <t>適判 - 依頼日</t>
  </si>
  <si>
    <t>適判 - 延長通知日</t>
  </si>
  <si>
    <t>適判 - 追加説明通知日</t>
  </si>
  <si>
    <t>shinsei_BIRUKAN_NOTIFY_DATE</t>
  </si>
  <si>
    <t>会社情報変更日範囲</t>
  </si>
  <si>
    <t>リストボックス用表示領域</t>
  </si>
  <si>
    <t>cst_CORP_INFO__list_box_erea</t>
  </si>
  <si>
    <t>社内意匠一次担当者</t>
  </si>
  <si>
    <t>事前審査</t>
  </si>
  <si>
    <t>道路・敷地状況発送日</t>
  </si>
  <si>
    <t>cst_shinsei_build_DOURO_SIKITI_HASSO_DATE</t>
  </si>
  <si>
    <t>cst_shinsei_build_DOURO_SIKITI_HASSO_DATE__disp</t>
  </si>
  <si>
    <t>cst_shinsei_strtuikaimpossx_STRUCT_NOTIFT_NO</t>
  </si>
  <si>
    <t>cst_shinsei_strtuikaimpossx_STRUCT_TUIKA_DATE</t>
  </si>
  <si>
    <t>cst_shinsei_strtuikaimpossx_STRUCTTUIKA_NOTIFT_DATE</t>
  </si>
  <si>
    <t>cst_shinsei_ng1_NOTIFY_DATE</t>
  </si>
  <si>
    <t>概要送付書①</t>
  </si>
  <si>
    <t>概要送付書②</t>
  </si>
  <si>
    <t>cst_PRESENTER_CORP__KoufuFuka</t>
  </si>
  <si>
    <t>cst_PRESENTER_DAIHYOSYA__KoufuFuka</t>
  </si>
  <si>
    <t>● 期限付2（適合するかどうかを決定する事が出来ない旨の通知書）</t>
  </si>
  <si>
    <t>**shinsei_IMPOSS2_NOTIFY_ID__NOTIFY_DATE</t>
  </si>
  <si>
    <t>**shinsei_IMPOSS2_NOTIFY_ID__KENSAIN_USER_ID</t>
  </si>
  <si>
    <t>cst_shinsei_imposs2_NOTIFY_USER</t>
  </si>
  <si>
    <t>**shinsei_IMPOSS2_NOTIFY_ID__LIMIT_DATE</t>
  </si>
  <si>
    <t>**shinsei_CHARGE_ID__meisai05_ITEM_NAME</t>
  </si>
  <si>
    <t>cst_shinsei_CHARGE_ID__meisai05_ITEM_NAME</t>
  </si>
  <si>
    <t>**shinsei_CHARGE_ID__meisai05_SURYOU</t>
  </si>
  <si>
    <t>**shinsei_CHARGE_ID__meisai05_TANKA</t>
  </si>
  <si>
    <t>**shinsei_CHARGE_ID__meisai05_SYOUKEI</t>
  </si>
  <si>
    <t>明細6</t>
  </si>
  <si>
    <t>明細7</t>
  </si>
  <si>
    <t>cst_shinsei_CHARGE_ID__meisai07_ITEM_NAME</t>
  </si>
  <si>
    <t>明細8</t>
  </si>
  <si>
    <t>受付 - 特記事項</t>
  </si>
  <si>
    <t>cst_shinsei_ACCEPT_TOKKI_JIKOU</t>
  </si>
  <si>
    <t>未完成</t>
  </si>
  <si>
    <t>Ver.1.0</t>
  </si>
  <si>
    <t>Ver.2.0</t>
  </si>
  <si>
    <t>Ver.3.0</t>
  </si>
  <si>
    <t>一斉出力</t>
  </si>
  <si>
    <t>全項目対応</t>
  </si>
  <si>
    <t>DATAシート分離（機関別対応）</t>
  </si>
  <si>
    <t>高速出力対応</t>
  </si>
  <si>
    <t>■ 構造計算適合性判定（適判）</t>
  </si>
  <si>
    <t>事前通知日</t>
  </si>
  <si>
    <t>延長通知日</t>
  </si>
  <si>
    <t>取下げ - 適判機関への提出日</t>
  </si>
  <si>
    <t>追加説明書の提出 - 通知日（適判へ）</t>
  </si>
  <si>
    <t>cst_shinsei_STRUCTTUIKA_NOTIFT_DATE</t>
  </si>
  <si>
    <t>追加説明提出日変更通知日</t>
  </si>
  <si>
    <t>cst_shinsei_build_NOBE_MENSEKI_BILL_SHINSEI</t>
  </si>
  <si>
    <t>cst_shinsei_HIKIUKE_TUUTI_DATE</t>
  </si>
  <si>
    <t>cst_shinsei_ISSUE_DATE</t>
  </si>
  <si>
    <t>cst_CityInfo</t>
  </si>
  <si>
    <t>cst_shinsei_INSPECTION_TYPE</t>
  </si>
  <si>
    <t>cst_charge_strtower15_CHARGE</t>
  </si>
  <si>
    <t>cst_charge_strtower15_CHARGE_WARIMASHI</t>
  </si>
  <si>
    <t>cst_charge_strtower15_CHARGE_TOTAL</t>
  </si>
  <si>
    <t>cst_charge_strtower15_CHARGE__ctrl</t>
  </si>
  <si>
    <t>cst_charge_strtower16_CHARGE</t>
  </si>
  <si>
    <t>cst_charge_strtower16_CHARGE_WARIMASHI</t>
  </si>
  <si>
    <t>cst_charge_strtower16_CHARGE_TOTAL</t>
  </si>
  <si>
    <t>cst_charge_strtower16_CHARGE__ctrl</t>
  </si>
  <si>
    <t>cst_charge_strtower17_CHARGE</t>
  </si>
  <si>
    <t>cst_charge_strtower17_CHARGE_WARIMASHI</t>
  </si>
  <si>
    <t>cst_charge_strtower17_CHARGE_TOTAL</t>
  </si>
  <si>
    <t>cst_charge_strtower17_CHARGE__ctrl</t>
  </si>
  <si>
    <t>cst_charge_strtower18_CHARGE</t>
  </si>
  <si>
    <t>工事種別 - 建築物 - 確認申請</t>
  </si>
  <si>
    <t>新築</t>
  </si>
  <si>
    <t>**shinsei_build_KOUJI_SINTIKU</t>
  </si>
  <si>
    <t>増築</t>
  </si>
  <si>
    <t>cst_charge_strtower22_CHARGE</t>
  </si>
  <si>
    <t>cst_charge_strtower22_CHARGE_WARIMASHI</t>
  </si>
  <si>
    <t>cst_charge_strtower22_CHARGE_TOTAL</t>
  </si>
  <si>
    <t>cst_charge_strtower22_CHARGE__ctrl</t>
  </si>
  <si>
    <t>cst_charge_strtower23_CHARGE</t>
  </si>
  <si>
    <t>cst_charge_strtower23_CHARGE_WARIMASHI</t>
  </si>
  <si>
    <t>cst_charge_strtower23_CHARGE_TOTAL</t>
  </si>
  <si>
    <t>cst_owners_name__all_in_one_add_sp3code_sama</t>
  </si>
  <si>
    <t>スペース３で改行コードに変換処理付</t>
  </si>
  <si>
    <t>建築主</t>
  </si>
  <si>
    <t>ひとつのセルで全ての建築主を表示。（改行付）</t>
  </si>
  <si>
    <t>cst_owners_name__all_in_one_add_sp3code</t>
  </si>
  <si>
    <t>**shinsei_STRUCTRESULT_NOTIFY_RESULT</t>
  </si>
  <si>
    <t>**shinsei_STRUCTRESULT_NOTIFY_BIKO</t>
  </si>
  <si>
    <t>■ 概要データ － 消防関係</t>
  </si>
  <si>
    <t>消防署</t>
  </si>
  <si>
    <t>消防署名</t>
  </si>
  <si>
    <t>cst_charge_strtower23_CHARGE__ctrl</t>
  </si>
  <si>
    <t>cst_charge_strtower24_CHARGE</t>
  </si>
  <si>
    <t>cst_charge_strtower24_CHARGE_WARIMASHI</t>
  </si>
  <si>
    <t>cst_charge_strtower24_CHARGE_TOTAL</t>
  </si>
  <si>
    <t>cst_charge_strtower24_CHARGE__ctrl</t>
  </si>
  <si>
    <t>cst_charge_strtower25_CHARGE</t>
  </si>
  <si>
    <t>画面表示項目</t>
  </si>
  <si>
    <t>部署名</t>
  </si>
  <si>
    <t>消防同意・通知の判定（同意・通知）</t>
  </si>
  <si>
    <t>**shinsei_FIRE_NOTIFY_SUBMIT_KIND</t>
  </si>
  <si>
    <t>cst_shinsei_FIRE_SUBMIT_DATE</t>
  </si>
  <si>
    <t>cst_shinsei_FIRE_NOTIFY_DATE</t>
  </si>
  <si>
    <t>■ 概要データ － 浄化槽通知</t>
  </si>
  <si>
    <t>保健所</t>
  </si>
  <si>
    <t>浄化槽 - 有無</t>
  </si>
  <si>
    <t>cst_charge_strtower27_CHARGE</t>
  </si>
  <si>
    <t>cst_charge_strtower27_CHARGE_WARIMASHI</t>
  </si>
  <si>
    <t>cst_charge_strtower27_CHARGE_TOTAL</t>
  </si>
  <si>
    <t>cst_charge_strtower27_CHARGE__ctrl</t>
  </si>
  <si>
    <t>cst_charge_strtower28_CHARGE</t>
  </si>
  <si>
    <t>cst_charge_strtower28_CHARGE_WARIMASHI</t>
  </si>
  <si>
    <t>cst_charge_strtower28_CHARGE_TOTAL</t>
  </si>
  <si>
    <t>cst_charge_strtower28_CHARGE__ctrl</t>
  </si>
  <si>
    <t>cst_charge_strtower29_CHARGE</t>
  </si>
  <si>
    <t>cst_HEALTH_CENTER_NAME_disp</t>
  </si>
  <si>
    <t>取引区分</t>
  </si>
  <si>
    <t>**shinsei_CHARGE_ID__BILL_TYPE</t>
  </si>
  <si>
    <t>cst_CORP_INFO__list_box_ctrl__Houkoku</t>
  </si>
  <si>
    <t>cst_PRESENTER_CORPTYPE__Houkoku</t>
  </si>
  <si>
    <t>群馬県</t>
  </si>
  <si>
    <t>dDATA_cst</t>
  </si>
  <si>
    <t>システム：データシート（カスタム用）</t>
  </si>
  <si>
    <t>dSTR_OFFICE_info</t>
  </si>
  <si>
    <t>Ver.4.0</t>
  </si>
  <si>
    <t>変更内容</t>
  </si>
  <si>
    <t>計変時の直前の確認交付番号</t>
  </si>
  <si>
    <t>cst_p2_shinsei_CHOKUZEN_ISSUE_NO</t>
  </si>
  <si>
    <t>県庁扱い（有,無）</t>
  </si>
  <si>
    <t>**shinsei_PREF_OFFICE_FLAG</t>
  </si>
  <si>
    <t>（有, 無）</t>
  </si>
  <si>
    <t>cst_shinsei_PREF_OFFICE_FLAG</t>
  </si>
  <si>
    <t>結果</t>
  </si>
  <si>
    <t>cst_shinsei__REPORT_STRUCTRESULT_NOTIFY_RESULT</t>
  </si>
  <si>
    <t>検査対象の床面積</t>
  </si>
  <si>
    <t>cst_shinsei_intermediate_CYU1_YUKA_MENSEKI</t>
  </si>
  <si>
    <t>※ 通常モードの処分の概要書用</t>
  </si>
  <si>
    <t>【1.建築確認】</t>
  </si>
  <si>
    <t>※確認時：確認番号（自分）, 計画変更時：直前の確認番号</t>
  </si>
  <si>
    <t>【ｲ.確認済証交付者】</t>
  </si>
  <si>
    <t>Sheet名</t>
  </si>
  <si>
    <t>User</t>
  </si>
  <si>
    <t>非使用</t>
  </si>
  <si>
    <t>非表示</t>
  </si>
  <si>
    <t>条件</t>
  </si>
  <si>
    <t>特記事項（出力条件等）</t>
  </si>
  <si>
    <t>A4薄紙</t>
  </si>
  <si>
    <t>A4厚紙</t>
  </si>
  <si>
    <t>出力機器</t>
  </si>
  <si>
    <t>建築物(B)</t>
  </si>
  <si>
    <t>昇降機(E)</t>
  </si>
  <si>
    <t>工作物(W)</t>
  </si>
  <si>
    <t>届出</t>
  </si>
  <si>
    <t>確認申請(Ｃ)</t>
  </si>
  <si>
    <t>計変変更</t>
  </si>
  <si>
    <t>中間検査(I)</t>
  </si>
  <si>
    <t>完了検査(F)</t>
  </si>
  <si>
    <t>事前</t>
  </si>
  <si>
    <t>引受</t>
  </si>
  <si>
    <t>確認不可
期限付</t>
  </si>
  <si>
    <t>確認不可
無期限</t>
  </si>
  <si>
    <t>交付不可
期限付</t>
  </si>
  <si>
    <t>交付不可
無期限</t>
  </si>
  <si>
    <t>検査書類審査の通知（引受）</t>
  </si>
  <si>
    <t>定期報告基本台帳</t>
  </si>
  <si>
    <t>確認
（申請管理）</t>
  </si>
  <si>
    <t>同意</t>
  </si>
  <si>
    <t>通知</t>
  </si>
  <si>
    <t>特定行政庁</t>
  </si>
  <si>
    <t>特別区</t>
  </si>
  <si>
    <t>区市町村情報</t>
  </si>
  <si>
    <t>都道府県情報－１（事務所１）</t>
  </si>
  <si>
    <t>都道府県情報－２（事務所２）</t>
  </si>
  <si>
    <t>県庁オプション</t>
  </si>
  <si>
    <t>cst_city_KEN_PUBLIC_OFFICE_ID__NAME</t>
  </si>
  <si>
    <t>cst_city_KEN_PUBLIC_OFFICE_ID__DEPART_NAME</t>
  </si>
  <si>
    <t>cst_city_KEN_PUBLIC_OFFICE_ID__FAX</t>
  </si>
  <si>
    <t>構造（主要・一部）</t>
  </si>
  <si>
    <t>階数（地上）</t>
  </si>
  <si>
    <t>主要用途
（戸建て住宅）</t>
  </si>
  <si>
    <t>法６条区分</t>
  </si>
  <si>
    <t>平成    年    月    日</t>
  </si>
  <si>
    <t>(計画変更の確認)</t>
  </si>
  <si>
    <t>期限年月日 - 年</t>
  </si>
  <si>
    <t>cst_shinsei__NOTIFY_LIMIT_DATE__ee</t>
  </si>
  <si>
    <t>期限年月日 - 月</t>
  </si>
  <si>
    <t>cst_shinsei__NOTIFY_LIMIT_DATE__mm</t>
  </si>
  <si>
    <t>期限年月日 - 日</t>
  </si>
  <si>
    <t>cst_shinsei__NOTIFY_LIMIT_DATE__dd</t>
  </si>
  <si>
    <t>cst_shinsei__NOTIFY_LIMIT_DATE</t>
  </si>
  <si>
    <t>cst_shinsei__NOTIFY_LIMIT_DATE__text</t>
  </si>
  <si>
    <t>cst_shinsei__NOTIFY_NOTE__ins_date</t>
  </si>
  <si>
    <t>cst_shinsei__NOTIFY_LIMIT_DATE__disp</t>
  </si>
  <si>
    <t>兵庫県神戸市長田区</t>
  </si>
  <si>
    <t>兵庫県神戸市須磨区</t>
  </si>
  <si>
    <t>兵庫県神戸市垂水区</t>
  </si>
  <si>
    <t>兵庫県神戸市西区</t>
  </si>
  <si>
    <t>兵庫県神戸市水上区</t>
  </si>
  <si>
    <t>法区分,：４号, 延べ面積：3000以上, ※計画変更以外</t>
  </si>
  <si>
    <t>**prule_ken_26</t>
  </si>
  <si>
    <t>**prule_ken_27</t>
  </si>
  <si>
    <t>**prule_ken_28</t>
  </si>
  <si>
    <t>**prule_ken_29</t>
  </si>
  <si>
    <t>**prule_ken_30</t>
  </si>
  <si>
    <t>**prule_ken_31</t>
  </si>
  <si>
    <t>**prule_ken_32</t>
  </si>
  <si>
    <t>**prule_ken_33</t>
  </si>
  <si>
    <t>**prule_ken_34</t>
  </si>
  <si>
    <t>**prule_ken_35</t>
  </si>
  <si>
    <t>**prule_ken_36</t>
  </si>
  <si>
    <t>**prule_ken_37</t>
  </si>
  <si>
    <t>**prule_ken_38</t>
  </si>
  <si>
    <t>**prule_ken_39</t>
  </si>
  <si>
    <t>**prule_ken_40</t>
  </si>
  <si>
    <t>条件</t>
  </si>
  <si>
    <t>リスト</t>
  </si>
  <si>
    <t>リスト２</t>
  </si>
  <si>
    <t>リスト３</t>
  </si>
  <si>
    <t>リスト４</t>
  </si>
  <si>
    <t>リスト５</t>
  </si>
  <si>
    <t>部署</t>
  </si>
  <si>
    <t>主要用途：08010(戸建住宅), 08020(長屋)</t>
  </si>
  <si>
    <t>兵庫県神戸市</t>
  </si>
  <si>
    <t>神戸市消防局</t>
  </si>
  <si>
    <t>兵庫県神戸市東灘区</t>
  </si>
  <si>
    <t>兵庫県神戸市灘区</t>
  </si>
  <si>
    <t>兵庫県神戸市中央区</t>
  </si>
  <si>
    <t>建築物の工事種別</t>
  </si>
  <si>
    <t>■ 概要データ　－　中間検査申請</t>
  </si>
  <si>
    <t>回数</t>
  </si>
  <si>
    <t>**shinsei_intermediate_CYU1_KAISUU</t>
  </si>
  <si>
    <t>特定工程</t>
  </si>
  <si>
    <t>**shinsei_intermediate_SPECIFIC_KOUTEI</t>
  </si>
  <si>
    <t>特定工程終了予定年月日</t>
  </si>
  <si>
    <t>※中間の引受・引受通知</t>
  </si>
  <si>
    <t>**shinsei_intermediate_CYU1_YUKA_MENSEKI</t>
  </si>
  <si>
    <t>■ 概要データ　－　完了検査申請</t>
  </si>
  <si>
    <t>**shinsei_KOUJI_YUKA_MENSEKI</t>
  </si>
  <si>
    <t>最終名称</t>
  </si>
  <si>
    <t>適合性判定機関名</t>
  </si>
  <si>
    <t>**shinsei_STRUCTRESULT_NOTIFY_KOUFU_NAME</t>
  </si>
  <si>
    <t>通知日</t>
  </si>
  <si>
    <t>**shinsei_hosei10_STRUCTNOTIFT_TUIKA_DATE</t>
  </si>
  <si>
    <t>**shinsei_hosei10_STRUCTNOTIFT_DOCNO</t>
  </si>
  <si>
    <t>**shinsei_hosei10_STRUCTTUIKA_NOTIFT_DATE</t>
  </si>
  <si>
    <t>**shinsei_hosei10_STRUCTNOTIFT_HENKOU_NOTIFT_DATE</t>
  </si>
  <si>
    <t>**shinsei_hosei10_STRUCTTUIKA_DOCNO</t>
  </si>
  <si>
    <t>**shinsei_hosei10_STRUCTNOTIFT_HENKOU_LIMIT_DATE</t>
  </si>
  <si>
    <t>**shinsei_hosei10_BIKO</t>
  </si>
  <si>
    <t>DATA3</t>
  </si>
  <si>
    <t>補正等－帳票作成</t>
  </si>
  <si>
    <t>補正等－
追加説明送付書作成</t>
  </si>
  <si>
    <t>補正等－提出期限延期作成</t>
  </si>
  <si>
    <t>**prule_btn_hosei</t>
  </si>
  <si>
    <t>**prule_btn_strtuikahosei</t>
  </si>
  <si>
    <t>**prule_btn_strenkihosei</t>
  </si>
  <si>
    <t>■ 補正等画面 帳票発行処理用情報（※ 帳票出力には用いない）</t>
  </si>
  <si>
    <t>押下ボタン情報＋回数</t>
  </si>
  <si>
    <t>cst__button_kind</t>
  </si>
  <si>
    <t>shinsei_ コントロール</t>
  </si>
  <si>
    <t>cst_shinsei_ctrl</t>
  </si>
  <si>
    <t>NOTIFY_LIMIT_DATE コントロール</t>
  </si>
  <si>
    <t>**shinsei_hosei3_STRUCTNOTIFT_NOTIFT_DATE</t>
  </si>
  <si>
    <t>**shinsei_hosei3_STRUCTNOTIFT_NOTIFT_NO</t>
  </si>
  <si>
    <t>**shinsei_hosei3_STRUCTNOTIFT_TOUTYAKU_MEMO</t>
  </si>
  <si>
    <t>**shinsei_hosei3_STRUCTNOTIFT_BIKO</t>
  </si>
  <si>
    <t>**shinsei_hosei3_STRUCTNOTIFT_TUIKA_DATE</t>
  </si>
  <si>
    <t>**shinsei_hosei3_STRUCTNOTIFT_DOCNO</t>
  </si>
  <si>
    <t>**shinsei_hosei3_STRUCTTUIKA_NOTIFT_DATE</t>
  </si>
  <si>
    <t>**shinsei_hosei3_STRUCTNOTIFT_HENKOU_NOTIFT_DATE</t>
  </si>
  <si>
    <t>**shinsei_hosei3_STRUCTTUIKA_DOCNO</t>
  </si>
  <si>
    <t>**shinsei_hosei3_STRUCTNOTIFT_HENKOU_LIMIT_DATE</t>
  </si>
  <si>
    <t>**shinsei_hosei3_BIKO</t>
  </si>
  <si>
    <t>● 回数4</t>
  </si>
  <si>
    <t>**shinsei_hosei4_NOTIFY_DATE</t>
  </si>
  <si>
    <t>**shinsei_hosei4_NOTIFY_DOCNO</t>
  </si>
  <si>
    <t>**shinsei_hosei4_KENSAIN_USER_ID</t>
  </si>
  <si>
    <t>**shinsei_hosei4_LIMIT_DATE</t>
  </si>
  <si>
    <t>**shinsei_hosei4_ANSWER_DATE</t>
  </si>
  <si>
    <t>**shinsei_hosei4_NOTIFY_NOTE</t>
  </si>
  <si>
    <t>**shinsei_hosei4_NOTIFY_SOUFU_SAKI</t>
  </si>
  <si>
    <t>**shinsei_hosei4_STRUCTNOTIFT_USE</t>
  </si>
  <si>
    <t>**shinsei_hosei4_STRUCTNOTIFT_NOTIFT_DATE</t>
  </si>
  <si>
    <t>**shinsei_hosei4_STRUCTNOTIFT_NOTIFT_NO</t>
  </si>
  <si>
    <t>**shinsei_hosei4_STRUCTNOTIFT_TOUTYAKU_MEMO</t>
  </si>
  <si>
    <t>**shinsei_hosei4_STRUCTNOTIFT_BIKO</t>
  </si>
  <si>
    <t>**shinsei_hosei4_STRUCTNOTIFT_TUIKA_DATE</t>
  </si>
  <si>
    <t>**shinsei_hosei4_STRUCTNOTIFT_DOCNO</t>
  </si>
  <si>
    <t>**shinsei_hosei4_STRUCTTUIKA_NOTIFT_DATE</t>
  </si>
  <si>
    <t>財団法人さいたま住宅検査センター</t>
  </si>
  <si>
    <t>財団法人千葉県建設技術センター</t>
  </si>
  <si>
    <t>財団法人茨城県建築センター</t>
  </si>
  <si>
    <t>NPO法人静岡県建築技術安心支援センター</t>
  </si>
  <si>
    <t>ハウスプラス確認検査株式会社</t>
  </si>
  <si>
    <t>日本ERI株式会社</t>
  </si>
  <si>
    <t>株式会社都市居住評価センター</t>
  </si>
  <si>
    <t>アウェイ建築評価ネット株式会社</t>
  </si>
  <si>
    <t>構造判定部長  飯森　輝好</t>
  </si>
  <si>
    <t>評価ネット</t>
  </si>
  <si>
    <t>評価ﾈｯﾄ</t>
  </si>
  <si>
    <t>代表取締役 古田土　勉</t>
  </si>
  <si>
    <t>cst_shinsei_KAN_HOUKOKU_KENSA_DATE</t>
  </si>
  <si>
    <t>cst_shinsei_KENSA_DATE</t>
  </si>
  <si>
    <t>cst_shinsei_KENSA_DATE__add_disp</t>
  </si>
  <si>
    <t>cst_shinsei_Intermediate_GOUKAKU_TOKKI_JIKOU</t>
  </si>
  <si>
    <t>cst_shinsei_KAN_ZUMI_TOKKI_JIKOU</t>
  </si>
  <si>
    <t>cst_shinsei_TOKKI_JIKOU</t>
  </si>
  <si>
    <t>確認済証交付日</t>
  </si>
  <si>
    <t>cst_shinsei_KAKU_SUMI_KOUFU_DATE</t>
  </si>
  <si>
    <t>確認済証交付者（会社＋代表者）</t>
  </si>
  <si>
    <t>cst_shinsei_KAKU_SUMI_KOUFU_NAME</t>
  </si>
  <si>
    <t xml:space="preserve"> - 種別：　　　　　</t>
  </si>
  <si>
    <t xml:space="preserve"> - 確認済証交付日：</t>
  </si>
  <si>
    <t xml:space="preserve"> - 確認済証番号：　</t>
  </si>
  <si>
    <t xml:space="preserve"> - 確認済証交付者：</t>
  </si>
  <si>
    <t>cst_shinsei_imposs1_NOTIFY_DATE</t>
  </si>
  <si>
    <t>cst_shinsei_imposs1_NOTIFY_LIMIT_DATE</t>
  </si>
  <si>
    <t>cst_shinsei_imposs1_NOTIFY_CAUSE</t>
  </si>
  <si>
    <t>cst_shinsei_imposs1_REPORT_DATE</t>
  </si>
  <si>
    <t>cst_shinsei_strtuikaimposs1_STRUCT_NOTIFT_DATE</t>
  </si>
  <si>
    <t>日総試</t>
  </si>
  <si>
    <t>建築防災</t>
  </si>
  <si>
    <t>兵庫県</t>
  </si>
  <si>
    <t>同意依頼日（送付日）</t>
  </si>
  <si>
    <t>cst_buildobject__shinsei_build_kouji</t>
  </si>
  <si>
    <t>特定工程</t>
  </si>
  <si>
    <t>cst_shinsei_intermediate_CYU1_KAISUU</t>
  </si>
  <si>
    <t>cst_shinsei_intermediate_SPECIFIC_KOUTEI</t>
  </si>
  <si>
    <t>EV：人, ES：人/時</t>
  </si>
  <si>
    <t>◇</t>
  </si>
  <si>
    <t>#,##0</t>
  </si>
  <si>
    <t>88-1の場合に「-」を表示</t>
  </si>
  <si>
    <t>高さ（範囲１）</t>
  </si>
  <si>
    <t>高さ（範囲２）</t>
  </si>
  <si>
    <t>範囲表示（～）</t>
  </si>
  <si>
    <t>該当する帳票が見つかりませんでした。</t>
  </si>
  <si>
    <t>cst_city_FIRE_STATION_ID__DEPART_NAME</t>
  </si>
  <si>
    <t>消防署宛名</t>
  </si>
  <si>
    <t>cst_city_FIRE_STATION_ID__DEST_NAME</t>
  </si>
  <si>
    <t>法区分</t>
  </si>
  <si>
    <t>主要用途(CODE)</t>
  </si>
  <si>
    <t>延面積</t>
  </si>
  <si>
    <t>消防署名：</t>
  </si>
  <si>
    <t>リスト一覧：</t>
  </si>
  <si>
    <t>帳票宛名</t>
  </si>
  <si>
    <t>cst_FIRE_CombList_Point</t>
  </si>
  <si>
    <t>基準位置</t>
  </si>
  <si>
    <t>市町村登録範囲</t>
  </si>
  <si>
    <t>処理：</t>
  </si>
  <si>
    <t>System Check</t>
  </si>
  <si>
    <t>cst_FIRE_SystemCheck</t>
  </si>
  <si>
    <t>CheckError：住所チェックエラー, Error：該当無, OK：該当</t>
  </si>
  <si>
    <t>市町村登録位置：</t>
  </si>
  <si>
    <t>cst_FIRE_CityInfo_Num</t>
  </si>
  <si>
    <t>基準位置からの相対距離</t>
  </si>
  <si>
    <t>条件の有無を判定：</t>
  </si>
  <si>
    <t>cst_FIRE_IrregularJudge</t>
  </si>
  <si>
    <t>0：リスト, 1：条件, 2：通常, 3：住所チェックエラー</t>
  </si>
  <si>
    <t>　条件時の結果：</t>
  </si>
  <si>
    <t>cst_FIRE_ConditionJudge</t>
  </si>
  <si>
    <t>← 0：条件に合致せず, 1：条件に合致, －：判定不可状態</t>
  </si>
  <si>
    <t>移動量 - 条件：</t>
  </si>
  <si>
    <t>cst_FIRE_JoukenMovement</t>
  </si>
  <si>
    <t>移動量 - リスト間：</t>
  </si>
  <si>
    <t>cst_FIRE_ListKanMovement</t>
  </si>
  <si>
    <t>リスト選択値：</t>
  </si>
  <si>
    <t>cst_FIRE_CombList_value</t>
  </si>
  <si>
    <t>● 最終決定名称</t>
  </si>
  <si>
    <t>最終決定名称：</t>
  </si>
  <si>
    <t>cst_city_FIRE_STATION_ID__NAME_Decision</t>
  </si>
  <si>
    <t>cst_city_FIRE_STATION_ID__DEST_NAME_Decision</t>
  </si>
  <si>
    <t>cst_city_FIRE_STATION_ID__DEST_NAME_Decision__add_code</t>
  </si>
  <si>
    <t>イレギュラーの市区町村登録表</t>
  </si>
  <si>
    <t>市区町村名</t>
  </si>
  <si>
    <t>cst_city_KEN2_PUBLIC_OFFICE_ID__FAX</t>
  </si>
  <si>
    <t>cst_city_KEN2_PUBLIC_OFFICE_ID__SYUJI_NAME</t>
  </si>
  <si>
    <t>cst_city_KEN2_PUBLIC_OFFICE_ID__GYOUSEI_NAME</t>
  </si>
  <si>
    <t>cst_shinsei_HIKIUKE_DATE__disp</t>
  </si>
  <si>
    <t>cst_PRESENTER_CORP__Hikiuke</t>
  </si>
  <si>
    <t>"　　　　　"&amp;cst_PRESENTER_DAIHYOSYA__Hikiuke&amp;"  印"</t>
  </si>
  <si>
    <t>"  "&amp;cst_shinsei_HIKIUKE_DATE__text&amp;"付けであった申請について、下記のとおり引き受けることを承諾します。"</t>
  </si>
  <si>
    <t>cst_shinsei_UKETUKE_NO__disp</t>
  </si>
  <si>
    <t>cst_owner1_name_all</t>
  </si>
  <si>
    <t>cst_owner2_name_all</t>
  </si>
  <si>
    <t>cst_owner3_name_all</t>
  </si>
  <si>
    <t>cst_owner4_name_all</t>
  </si>
  <si>
    <t>cst_owner5_name_all</t>
  </si>
  <si>
    <t>cst_owner6_name_all</t>
  </si>
  <si>
    <t>cst_owner7_name_all</t>
  </si>
  <si>
    <t>cst_owner8_name_all</t>
  </si>
  <si>
    <t>cst_owner9_name_all</t>
  </si>
  <si>
    <t>cst_shinsei_REPORT_DEST_SYUJI_NAME__decision</t>
  </si>
  <si>
    <t>cst_shinsei_REPORT_DEST_GYOUSEI_NAME__decision</t>
  </si>
  <si>
    <t>cst_shinsei_imposs5_NOTIFY_LIMIT_DATE</t>
  </si>
  <si>
    <t>cst_shinsei_imposs5_NOTIFY_CAUSE</t>
  </si>
  <si>
    <t>cst_shinsei_imposs5_NOTIFY_NOTE</t>
  </si>
  <si>
    <t>cst_shinsei_imposs5_REPORT_DATE</t>
  </si>
  <si>
    <t>cst_shinsei_strtuikaimposs5_STRUCT_NOTIFT_DATE</t>
  </si>
  <si>
    <t>cst_shinsei_strtuikaimposs5_STRUCT_NOTIFT_NO</t>
  </si>
  <si>
    <t>cst_shinsei_strtuikaimposs5_STRUCT_TUIKA_DATE</t>
  </si>
  <si>
    <t>代表取締役社長 小栁  義雄</t>
  </si>
  <si>
    <t>cst_owner_name2__add_sp3code</t>
  </si>
  <si>
    <t>建築主2 - 前処理</t>
  </si>
  <si>
    <t>cst_owner_name1__add_sp3code_sama</t>
  </si>
  <si>
    <t>cst_owner_name1__add_sama</t>
  </si>
  <si>
    <t>cst_owner_name1__add_sp3code</t>
  </si>
  <si>
    <t>建築主1 - 前処理</t>
  </si>
  <si>
    <t>cst_Owner_Name1_Sama</t>
  </si>
  <si>
    <t>cst_Owner_Name2_Sama</t>
  </si>
  <si>
    <t>cst_Owner_Name3_Sama</t>
  </si>
  <si>
    <t>cst_Owner_Name4_Sama</t>
  </si>
  <si>
    <t>cst_Owner_Name5_Sama</t>
  </si>
  <si>
    <t>cst_Owner_Name6_Sama</t>
  </si>
  <si>
    <t>建築主　役職+氏名 様（役職が入っていれば　スペース　様付き）</t>
  </si>
  <si>
    <t>cst_owner1_POSTname_add_sama</t>
  </si>
  <si>
    <t>cst_owner2_POSTname_add_sama</t>
  </si>
  <si>
    <t>cst_owner3_POSTname_add_sama</t>
  </si>
  <si>
    <t>cst_owner4_POSTname_add_sama</t>
  </si>
  <si>
    <t>cst_owner5_POSTname_add_sama</t>
  </si>
  <si>
    <t>cst_owner6_POSTname_add_sama</t>
  </si>
  <si>
    <t>cst_owner7_POSTname_add_sama</t>
  </si>
  <si>
    <t>cst_owner8_POSTname_add_sama</t>
  </si>
  <si>
    <t>cst_owner9_POSTname_add_sama</t>
  </si>
  <si>
    <t>棟別情報05</t>
  </si>
  <si>
    <t>棟別情報06</t>
  </si>
  <si>
    <t>棟別情報07</t>
  </si>
  <si>
    <t>棟別情報08</t>
  </si>
  <si>
    <t>棟別情報09</t>
  </si>
  <si>
    <t>棟別情報10</t>
  </si>
  <si>
    <t>棟別情報11</t>
  </si>
  <si>
    <t>棟別情報12</t>
  </si>
  <si>
    <t>棟別情報13</t>
  </si>
  <si>
    <t>棟別情報14</t>
  </si>
  <si>
    <t>棟別情報15</t>
  </si>
  <si>
    <t>棟別情報16</t>
  </si>
  <si>
    <t>cst_kakaru_shinsei_HIKIUKE_DATE</t>
  </si>
  <si>
    <t>cst_shinsei_KAKUNINZUMI_HOUKOKU_GYOSEI_DATE__ee</t>
  </si>
  <si>
    <t>cst_shinsei_KAKUNINZUMI_HOUKOKU_GYOSEI_DATE__mm</t>
  </si>
  <si>
    <t>cst_shinsei_KAKUNINZUMI_HOUKOKU_GYOSEI_DATE__dd</t>
  </si>
  <si>
    <t>道路・敷地状況発送日</t>
  </si>
  <si>
    <t>道路・敷地状況発送日 - 年</t>
  </si>
  <si>
    <t>道路・敷地状況発送日 - 月</t>
  </si>
  <si>
    <t>道路・敷地状況発送日 - 日</t>
  </si>
  <si>
    <t>data_values_NEW__end</t>
  </si>
  <si>
    <t>建築主01</t>
  </si>
  <si>
    <t>建築主02</t>
  </si>
  <si>
    <t>建築主03</t>
  </si>
  <si>
    <t>建築主04</t>
  </si>
  <si>
    <t>建築主05</t>
  </si>
  <si>
    <t>建築主06</t>
  </si>
  <si>
    <t>cst_shinsei_PROVO_DATE</t>
  </si>
  <si>
    <t>※処理日時点での帳票発行者名にする為の処理</t>
  </si>
  <si>
    <t>各帳票に交付者を記載する所が無く、帳票発行者名の記載しかないため</t>
  </si>
  <si>
    <t>帳票情報</t>
  </si>
  <si>
    <t>採用情報</t>
  </si>
  <si>
    <t>帳票名</t>
  </si>
  <si>
    <t>Ctrl</t>
  </si>
  <si>
    <t>検査結果</t>
  </si>
  <si>
    <t>日付</t>
  </si>
  <si>
    <t>会社タイプ</t>
  </si>
  <si>
    <t>会社名</t>
  </si>
  <si>
    <t>代表者名</t>
  </si>
  <si>
    <t>cst_shinsei_REPORT_umu</t>
  </si>
  <si>
    <t>行政経由番号表示の有無エラー表示</t>
  </si>
  <si>
    <t>cst_shinsei_REPORT_umu_Error</t>
  </si>
  <si>
    <t>但し、手数料のセル名は未整理</t>
  </si>
  <si>
    <t>住宅審査本部長代理　和里　博保</t>
  </si>
  <si>
    <t>神戸市消防局消防長</t>
  </si>
  <si>
    <t>cst_charge_income_INCOME_DATE</t>
  </si>
  <si>
    <t>■</t>
  </si>
  <si>
    <t>cst_charge_income_INCOME_MONEY</t>
  </si>
  <si>
    <t>cst_charge_strtower01_CHARGE</t>
  </si>
  <si>
    <t>cst_charge_strtower01_CHARGE_WARIMASHI</t>
  </si>
  <si>
    <t>cst_shinsei_ev_KOUSAKU_KOUZOU</t>
  </si>
  <si>
    <t>cst_shinsei_ev_kousaku_kouji</t>
  </si>
  <si>
    <t>築造面積：</t>
  </si>
  <si>
    <t>cst_shinsei_ev_TIKUZOUMENSEKI_SHINSEI</t>
  </si>
  <si>
    <t>工作物の数：</t>
  </si>
  <si>
    <t>**shinsei_hosei6_STRUCTNOTIFT_NOTIFT_DATE</t>
  </si>
  <si>
    <t>**shinsei_hosei6_STRUCTNOTIFT_NOTIFT_NO</t>
  </si>
  <si>
    <t>**shinsei_hosei6_STRUCTNOTIFT_TOUTYAKU_MEMO</t>
  </si>
  <si>
    <t>**shinsei_hosei6_STRUCTNOTIFT_BIKO</t>
  </si>
  <si>
    <t>cst_JUDGE_OFFICE_CORP_DAIHYOUSHA__irai_add_code</t>
  </si>
  <si>
    <t>cst_JUDGE_OFFICE_KOUZOUSEKININSHA__irai</t>
  </si>
  <si>
    <t>cst_JUDGE_OFFICE_CORP_KOUZOUSEKININSHA__irai</t>
  </si>
  <si>
    <t>cst_JUDGE_OFFICE_CORP_KOUZOUSEKININSHA__irai_add_code</t>
  </si>
  <si>
    <r>
      <t>cst_JUDGE_OFFICE_DAIHYOUSHA</t>
    </r>
    <r>
      <rPr>
        <sz val="10"/>
        <color indexed="8"/>
        <rFont val="ＭＳ Ｐゴシック"/>
        <family val="3"/>
      </rPr>
      <t>__enchou</t>
    </r>
  </si>
  <si>
    <t>cst_JUDGE_OFFICE_CORP_DAIHYOUSHA__enchou</t>
  </si>
  <si>
    <t>cst_JUDGE_OFFICE_CORP_DAIHYOUSHA__enchou_add_code</t>
  </si>
  <si>
    <t>cst_JUDGE_OFFICE_KOUZOUSEKININSHA__enchou</t>
  </si>
  <si>
    <t>cst_JUDGE_OFFICE_CORP_KOUZOUSEKININSHA__enchou</t>
  </si>
  <si>
    <t>cst_JUDGE_OFFICE_CORP_KOUZOUSEKININSHA__enchou_add_code</t>
  </si>
  <si>
    <r>
      <t>cst_JUDGE_OFFICE_DAIHYOUSHA</t>
    </r>
    <r>
      <rPr>
        <sz val="10"/>
        <color indexed="8"/>
        <rFont val="ＭＳ Ｐゴシック"/>
        <family val="3"/>
      </rPr>
      <t>__torisage</t>
    </r>
  </si>
  <si>
    <t>cst_JUDGE_OFFICE_CORP_DAIHYOUSHA__torisage</t>
  </si>
  <si>
    <t>cst_JUDGE_OFFICE_CORP_DAIHYOUSHA__torisage_add_code</t>
  </si>
  <si>
    <t>cst_JUDGE_OFFICE_KOUZOUSEKININSHA__torisage</t>
  </si>
  <si>
    <t>cst_JUDGE_OFFICE_CORP_KOUZOUSEKININSHA__torisage</t>
  </si>
  <si>
    <t>cst_JUDGE_OFFICE_CORP_KOUZOUSEKININSHA__torisage_add_code</t>
  </si>
  <si>
    <r>
      <t>cst_JUDGE_OFFICE_DAIHYOUSHA</t>
    </r>
    <r>
      <rPr>
        <sz val="10"/>
        <color indexed="8"/>
        <rFont val="ＭＳ Ｐゴシック"/>
        <family val="3"/>
      </rPr>
      <t>__tuikatosho</t>
    </r>
  </si>
  <si>
    <t>cst_JUDGE_OFFICE_CORP_DAIHYOUSHA__tuikatosho</t>
  </si>
  <si>
    <t>cst_JUDGE_OFFICE_CORP_DAIHYOUSHA__tuikatosho_add_code</t>
  </si>
  <si>
    <t>cst_shinsei_ev_WORKCOUNT_SHINSEI</t>
  </si>
  <si>
    <t>計画変更時に表示する項目：</t>
  </si>
  <si>
    <t>IF(shinsei_INSPECTION_TYPE="計画変更","４．前確認済証番号","")</t>
  </si>
  <si>
    <t>txt</t>
  </si>
  <si>
    <t>建築物の構造</t>
  </si>
  <si>
    <t>主要部＋一部</t>
  </si>
  <si>
    <t>cst_shinsei_build_kouzou</t>
  </si>
  <si>
    <t>cst_CORP_INFO__list_box_ctrl__FireTuuchi</t>
  </si>
  <si>
    <t>cst_PRESENTER_CORPTYPE__FireTuuchi</t>
  </si>
  <si>
    <t>cst_PRESENTER_CORP__FireTuuchi</t>
  </si>
  <si>
    <t>社内構造二次担当者</t>
  </si>
  <si>
    <t>大規模用</t>
  </si>
  <si>
    <t>cst_shinsei_ISHOU_TANTO</t>
  </si>
  <si>
    <t>社内意匠二次担当者</t>
  </si>
  <si>
    <t>cst_shinsei_ISHOU_TANTO2</t>
  </si>
  <si>
    <t>社内意匠三次担当者</t>
  </si>
  <si>
    <t>cst_shinsei_ISHOU_TANTO3</t>
  </si>
  <si>
    <t>SP3を改行＋様</t>
  </si>
  <si>
    <t>通常：所轄を登録（例：区毎に消防署が異なれば市区町村マスタで区毎に登録。条件により市の所轄になるのをここで登録）</t>
  </si>
  <si>
    <t>登録方法：</t>
  </si>
  <si>
    <t>●市区町村名欄にイレギュラー時の住所チェックの値（都道府県から）を入力します。</t>
  </si>
  <si>
    <t>システムから取得した住所チェックの値と同じ場合は条件・リストが確定します。</t>
  </si>
  <si>
    <t>●条件の場合は条件に条件に見合った関数を作成します。結果は判定不可状態：-, 条件に合致：1, 条件ではない：0とします。</t>
  </si>
  <si>
    <t>**prule_target_build</t>
  </si>
  <si>
    <t>**prule_target_ev</t>
  </si>
  <si>
    <t>**prule_target_work</t>
  </si>
  <si>
    <t>**prule_inspect_conf</t>
  </si>
  <si>
    <t>**prule_inspect_alter</t>
  </si>
  <si>
    <t>**prule_inspect_inter</t>
  </si>
  <si>
    <t>**prule_inspect_final</t>
  </si>
  <si>
    <t>**prule_btn_provo</t>
  </si>
  <si>
    <t>**prule_btn_accept</t>
  </si>
  <si>
    <t>**prule_btn_issue</t>
  </si>
  <si>
    <t>**prule_btn_imposs</t>
  </si>
  <si>
    <t>**prule_btn_impossx</t>
  </si>
  <si>
    <t>**prule_btn_ng</t>
  </si>
  <si>
    <t>**prule_btn_ngx</t>
  </si>
  <si>
    <t>**prule_btn_doccheck</t>
  </si>
  <si>
    <t>**prule_btn_regrepo</t>
  </si>
  <si>
    <t>**prule_btn_objectdoccheck</t>
  </si>
  <si>
    <t>**prule_btn_birukan</t>
  </si>
  <si>
    <t>**prule_btn_bill</t>
  </si>
  <si>
    <t>**prule_btn_receipt</t>
  </si>
  <si>
    <t>**prule_fire_agree</t>
  </si>
  <si>
    <t>**prule_fire_notify</t>
  </si>
  <si>
    <t>**prule_city_tokutei</t>
  </si>
  <si>
    <t>**prule_city_tokubetu</t>
  </si>
  <si>
    <t>**prule_city_gentei</t>
  </si>
  <si>
    <t>**prule_city_other</t>
  </si>
  <si>
    <t>**prule_cityflag_fax</t>
  </si>
  <si>
    <t>**prule_cityflag_gaiyou1</t>
  </si>
  <si>
    <t>**prule_cityflag_gaiyou2</t>
  </si>
  <si>
    <t>**prule_cityflag_tanto_teisei</t>
  </si>
  <si>
    <t>**prule_cityflag_hourei_negai</t>
  </si>
  <si>
    <t>**prule_cityflag_hourei_hyou</t>
  </si>
  <si>
    <t>●リストの場合はリスト～リスト５に登録した値がリストに表示されます。</t>
  </si>
  <si>
    <t>判定概要：</t>
  </si>
  <si>
    <t>市区町村名に登録した都道府県＋市区町村名とシステムが取得した住所チェックの値が合致するか判定します。</t>
  </si>
  <si>
    <t>合致した場合、条件により所轄消防署が異なる、又は特定できずリストから手動で選択する事が確定します。</t>
  </si>
  <si>
    <t>条件を登録しているかを調べ、その値で条件に記載している情報かシステム情報かを決定します。</t>
  </si>
  <si>
    <t>条件が記載されていない場合はリストから手動で選択する事が確定します。</t>
  </si>
  <si>
    <t>システム情報</t>
  </si>
  <si>
    <t>データ</t>
  </si>
  <si>
    <t>住所チェック値</t>
  </si>
  <si>
    <t>cst_JUDGE_OFFICE_KOUZOUSEKININSHA__tuikatosho</t>
  </si>
  <si>
    <t>cst_JUDGE_OFFICE_CORP_KOUZOUSEKININSHA__tuikatosho</t>
  </si>
  <si>
    <t>cst_JUDGE_OFFICE_CORP_KOUZOUSEKININSHA__tuikatosho_add_code</t>
  </si>
  <si>
    <t>cst_JUDGE_OFFICE_DAIHYOUSHA__tuikatosho_henkou</t>
  </si>
  <si>
    <t>cst_JUDGE_OFFICE_CORP_DAIHYOUSHA__tuikatosho_henkou</t>
  </si>
  <si>
    <t>cst_JUDGE_OFFICE_CORP_DAIHYOUSHA__tuikatosho_henkou_add_code</t>
  </si>
  <si>
    <t>cst_JUDGE_OFFICE_KOUZOUSEKININSHA__tuikatosho_henkou</t>
  </si>
  <si>
    <t>cst_JUDGE_OFFICE_CORP_KOUZOUSEKININSHA__tuikatosho_henkou</t>
  </si>
  <si>
    <t>cst_JUDGE_OFFICE_CORP_KOUZOUSEKININSHA__tuikatosho_henkou_add_code</t>
  </si>
  <si>
    <t>cst_JUDGE_OFFICE_DAIHYOUSHA__HOUKOKU__disp</t>
  </si>
  <si>
    <t>cst_JUDGE_OFFICE_CORP_DAIHYOUSHA__HOUKOKU__disp</t>
  </si>
  <si>
    <t>cst_JUDGE_OFFICE_CORP_DAIHYOUSHA__HOUKOKU__disp_code</t>
  </si>
  <si>
    <t>cst_JUDGE_OFFICE_DAIHYOUSHA__HOUKOKU</t>
  </si>
  <si>
    <t>cst_JUDGE_OFFICE_CORP_DAIHYOUSHA__HOUKOKU</t>
  </si>
  <si>
    <t>cst_JUDGE_OFFICE_CORP_DAIHYOUSHA__HOUKOKU_code</t>
  </si>
  <si>
    <t>cst_JUDGE_OFFICE_***</t>
  </si>
  <si>
    <t>cst_JUDGE_OFFICE_date_erea__***</t>
  </si>
  <si>
    <t>cst_JUDGE_OFFICE__base_point</t>
  </si>
  <si>
    <t>cst_JUDGE_OFFICE__next_erea</t>
  </si>
  <si>
    <t>cst_JUDGE_OFFICE_CORP</t>
  </si>
  <si>
    <t>A</t>
  </si>
  <si>
    <t>日本建築</t>
  </si>
  <si>
    <r>
      <t>U</t>
    </r>
    <r>
      <rPr>
        <sz val="10"/>
        <color indexed="8"/>
        <rFont val="ＭＳ Ｐゴシック"/>
        <family val="3"/>
      </rPr>
      <t>DI</t>
    </r>
  </si>
  <si>
    <t>BCJ</t>
  </si>
  <si>
    <t>Add</t>
  </si>
  <si>
    <t>B</t>
  </si>
  <si>
    <t>昇降機</t>
  </si>
  <si>
    <t>C</t>
  </si>
  <si>
    <t>ベター</t>
  </si>
  <si>
    <r>
      <t>U</t>
    </r>
    <r>
      <rPr>
        <sz val="10"/>
        <color indexed="8"/>
        <rFont val="ＭＳ Ｐゴシック"/>
        <family val="3"/>
      </rPr>
      <t>DI</t>
    </r>
  </si>
  <si>
    <t>ﾍﾞﾀｰ</t>
  </si>
  <si>
    <t>Add</t>
  </si>
  <si>
    <t>D</t>
  </si>
  <si>
    <t>財団法人 住宅金融普及協会</t>
  </si>
  <si>
    <t>普及協会</t>
  </si>
  <si>
    <t>E</t>
  </si>
  <si>
    <t>財団法人 東京都防災・建築まちづくりセンター</t>
  </si>
  <si>
    <t>まちづくり</t>
  </si>
  <si>
    <t>Add</t>
  </si>
  <si>
    <t>F</t>
  </si>
  <si>
    <t>財団法人 神奈川県建築安全協会</t>
  </si>
  <si>
    <t>Add</t>
  </si>
  <si>
    <t>G</t>
  </si>
  <si>
    <t>財団法人 さいたま住宅検査センター</t>
  </si>
  <si>
    <t>H</t>
  </si>
  <si>
    <t>● 期限付5（適合するかどうかを決定する事が出来ない旨の通知書）</t>
  </si>
  <si>
    <t>**shinsei_IMPOSS5_NOTIFY_ID__NOTIFY_DATE</t>
  </si>
  <si>
    <t>**shinsei_IMPOSS5_NOTIFY_ID__KENSAIN_USER_ID</t>
  </si>
  <si>
    <t>**shinsei_IMPOSS5_NOTIFY_ID__LIMIT_DATE</t>
  </si>
  <si>
    <t>**shinsei_IMPOSS5_NOTIFY_ID__NOTIFY_CAUSE</t>
  </si>
  <si>
    <t>**shinsei_IMPOSS5_NOTIFY_ID__NOTIFY_NOTE</t>
  </si>
  <si>
    <t>● 期限付5（確認審査の報告書）</t>
  </si>
  <si>
    <t>**shinsei_IMPOSS5_NOTIFY_ID__REPORT_DATE</t>
  </si>
  <si>
    <t>● 期限付6（適合するかどうかを決定する事が出来ない旨の通知書）</t>
  </si>
  <si>
    <t>財団法人 千葉県建設技術センター</t>
  </si>
  <si>
    <t>理事長 小髙　俊和</t>
  </si>
  <si>
    <t>千葉県建設技術</t>
  </si>
  <si>
    <t>Add</t>
  </si>
  <si>
    <t>I</t>
  </si>
  <si>
    <t>財団法人 茨城県建築センター</t>
  </si>
  <si>
    <t>J</t>
  </si>
  <si>
    <t>群馬県</t>
  </si>
  <si>
    <t>GUNMA</t>
  </si>
  <si>
    <t>K</t>
  </si>
  <si>
    <t>NPO法人 静岡県建築技術安心支援センター</t>
  </si>
  <si>
    <t>L</t>
  </si>
  <si>
    <t>ハウスプラス確認検査株式会社</t>
  </si>
  <si>
    <t>ﾊｳｽﾌﾟﾗｽ</t>
  </si>
  <si>
    <t>M</t>
  </si>
  <si>
    <t>日本ERI株式会社</t>
  </si>
  <si>
    <t>ＥＲＩ</t>
  </si>
  <si>
    <t>ERI</t>
  </si>
  <si>
    <t>N</t>
  </si>
  <si>
    <t>株式会社 都市居住評価センター</t>
  </si>
  <si>
    <t>Add</t>
  </si>
  <si>
    <t>O</t>
  </si>
  <si>
    <t>ビューロ</t>
  </si>
  <si>
    <t>ﾋﾞｭｰﾛ</t>
  </si>
  <si>
    <t>P</t>
  </si>
  <si>
    <t>株式会社 建築構造センター</t>
  </si>
  <si>
    <t>建築構造</t>
  </si>
  <si>
    <t>Q</t>
  </si>
  <si>
    <t>株式会社 国際確認検査センター</t>
  </si>
  <si>
    <t>国際確認検査</t>
  </si>
  <si>
    <t>国際確認</t>
  </si>
  <si>
    <t>R</t>
  </si>
  <si>
    <t>アイズ</t>
  </si>
  <si>
    <t>ｱｲｽﾞ</t>
  </si>
  <si>
    <t>S</t>
  </si>
  <si>
    <t>株式会社 東京建築検査機構</t>
  </si>
  <si>
    <t>Add</t>
  </si>
  <si>
    <t>U</t>
  </si>
  <si>
    <t>株式会社 神奈川建築確認検査機関</t>
  </si>
  <si>
    <t>神奈川建築</t>
  </si>
  <si>
    <t>Add</t>
  </si>
  <si>
    <t>V</t>
  </si>
  <si>
    <t>社団法人 日本膜構造協会</t>
  </si>
  <si>
    <t>日本膜構造</t>
  </si>
  <si>
    <t>W</t>
  </si>
  <si>
    <t>財団法人 愛知県建築住宅センター</t>
  </si>
  <si>
    <t>愛知県建築住宅</t>
  </si>
  <si>
    <t>X</t>
  </si>
  <si>
    <t>岐阜県</t>
  </si>
  <si>
    <t>Y</t>
  </si>
  <si>
    <t>財団法人 日本住宅・木材技術センター</t>
  </si>
  <si>
    <t>構造判定室長</t>
  </si>
  <si>
    <t>木材</t>
  </si>
  <si>
    <t>Z</t>
  </si>
  <si>
    <t>財団法人 三重県建設技術センター</t>
  </si>
  <si>
    <t>三重県建設技術</t>
  </si>
  <si>
    <t>AA</t>
  </si>
  <si>
    <t>財団法人 日本建築総合試験所</t>
  </si>
  <si>
    <t>理事長 森田　司郎</t>
  </si>
  <si>
    <t>理事長 辻　文三</t>
  </si>
  <si>
    <t>AB</t>
  </si>
  <si>
    <t>財団法人 大阪建築防災センター</t>
  </si>
  <si>
    <t>理事長 宮崎　八郎</t>
  </si>
  <si>
    <t>理事長 結城  恭昌</t>
  </si>
  <si>
    <t>Add</t>
  </si>
  <si>
    <t>AC</t>
  </si>
  <si>
    <t>財団法人 兵庫県住宅建築総合センター</t>
  </si>
  <si>
    <t>AD</t>
  </si>
  <si>
    <t>AE</t>
  </si>
  <si>
    <t>● 無期限（交付できない旨の通知書）</t>
  </si>
  <si>
    <t>**shinsei_NGX_NOTIFY_ID__NOTIFY_DATE</t>
  </si>
  <si>
    <t>**shinsei_NGX_NOTIFY_ID__KENSAIN_USER_ID</t>
  </si>
  <si>
    <t>**shinsei_NGX_NOTIFY_ID__KENSA_DATE</t>
  </si>
  <si>
    <t>**shinsei_NGX_NOTIFY_ID__NOTIFY_CAUSE</t>
  </si>
  <si>
    <t>● 無期限（確認審査の報告書）</t>
  </si>
  <si>
    <t>**shinsei_NGX_NOTIFY_ID__REPORT_DATE</t>
  </si>
  <si>
    <t>不適合時の事由</t>
  </si>
  <si>
    <t>**shinsei_STRUCTRESULT_NOTIFY_DATE</t>
  </si>
  <si>
    <t>**shinsei_STRUCTRESULT_NOTIFY_NO</t>
  </si>
  <si>
    <t>**shinsei_IMPOSS6_NOTIFY_ID__NOTIFY_DATE</t>
  </si>
  <si>
    <t>**shinsei_IMPOSS6_NOTIFY_ID__KENSAIN_USER_ID</t>
  </si>
  <si>
    <t>**shinsei_IMPOSS6_NOTIFY_ID__LIMIT_DATE</t>
  </si>
  <si>
    <t>**shinsei_IMPOSS6_NOTIFY_ID__NOTIFY_CAUSE</t>
  </si>
  <si>
    <t>**shinsei_IMPOSS6_NOTIFY_ID__NOTIFY_NOTE</t>
  </si>
  <si>
    <t>● 期限付6（確認審査の報告書）</t>
  </si>
  <si>
    <t>**shinsei_IMPOSS6_NOTIFY_ID__REPORT_DATE</t>
  </si>
  <si>
    <t>● 無期限（適合するかどうかを決定する事が出来ない旨の通知書）</t>
  </si>
  <si>
    <t>**shinsei_IMPOSSX_NOTIFY_ID__NOTIFY_DATE</t>
  </si>
  <si>
    <t>**shinsei_IMPOSSX_NOTIFY_ID__KENSAIN_USER_ID</t>
  </si>
  <si>
    <t>**shinsei_IMPOSSX_NOTIFY_ID__NOTIFY_CAUSE</t>
  </si>
  <si>
    <t>**shinsei_IMPOSSX_NOTIFY_ID__NOTIFY_NOTE</t>
  </si>
  <si>
    <t>● 無期限（確認審査の報告書）</t>
  </si>
  <si>
    <t>**shinsei_IMPOSSX_NOTIFY_ID__REPORT_DATE</t>
  </si>
  <si>
    <t>● 不適合（適合しない旨の通知書）</t>
  </si>
  <si>
    <t>● 期限付1（交付できない旨の通知書）</t>
  </si>
  <si>
    <t>**shinsei_NG_NOTIFY_DATE</t>
  </si>
  <si>
    <t>**shinsei_NG_NOTIFY_USER_ID</t>
  </si>
  <si>
    <t>検査年月日</t>
  </si>
  <si>
    <t>**shinsei_NG_NOTIFY_LIMIT_DATE</t>
  </si>
  <si>
    <t>**shinsei_NG_NOTIFY_CAUSE</t>
  </si>
  <si>
    <t>**shinsei_NG_NOTIFY_BIKO</t>
  </si>
  <si>
    <t>● 不適合（確認審査の報告書）</t>
  </si>
  <si>
    <t>**shinsei_NG_REPORT_DATE</t>
  </si>
  <si>
    <t>● 期限付2（交付できない旨の通知書）</t>
  </si>
  <si>
    <t>**shinsei_NG2_NOTIFY_ID__NOTIFY_DATE</t>
  </si>
  <si>
    <t>○</t>
  </si>
  <si>
    <t>cst_shinsei_xx_NOTIFY_LIMIT_DATE</t>
  </si>
  <si>
    <t>---</t>
  </si>
  <si>
    <t>審査・検査報告書</t>
  </si>
  <si>
    <t>判定できない通知</t>
  </si>
  <si>
    <t>1：有効</t>
  </si>
  <si>
    <t>○</t>
  </si>
  <si>
    <t>追加説明提出日（提出期限日）</t>
  </si>
  <si>
    <t>変更通知日（提出日(GBRC)）</t>
  </si>
  <si>
    <t>○</t>
  </si>
  <si>
    <t>備考</t>
  </si>
  <si>
    <t>cst_shinsei_xx_NOTIFY_USER</t>
  </si>
  <si>
    <t>cst_shinsei_xx_NOTIFY_ANSWER_DATE</t>
  </si>
  <si>
    <t>cst_shinsei_xx_NOTIFY_CAUSE</t>
  </si>
  <si>
    <t>cst_shinsei_xx_NOTIFY_NOTE</t>
  </si>
  <si>
    <t>cst_shinsei_xx_NOTIFY_SOUFU_SAKI</t>
  </si>
  <si>
    <t>cst_shinsei_xx_NOTIFY_DOCNO</t>
  </si>
  <si>
    <t>cst_shinsei_xx_REPORT_DATE</t>
  </si>
  <si>
    <t>cst_shinsei_xx_CAUSE</t>
  </si>
  <si>
    <t>cst_shinsei_xx_STRUCT_NOTIFT_DATE</t>
  </si>
  <si>
    <t>cst_shinsei_xx_STRUCT_NOTIFT_NO</t>
  </si>
  <si>
    <t>cst_shinsei_xx_STRUCT_TUIKA_NOTIFT_DATE</t>
  </si>
  <si>
    <t>cst_shinsei_xx_BIKO</t>
  </si>
  <si>
    <t>cst_shinsei_xx_NOTIFY_TANTOU</t>
  </si>
  <si>
    <t>cst_shinsei_xx_STRUCT_NOTIFT_USE</t>
  </si>
  <si>
    <t>cst_shinsei_xx_STRUCT_NOTIFT_TOUTYAKU_MEMO</t>
  </si>
  <si>
    <t>cst_shinsei_xx_STRUCT_NOTIFT_BIKO</t>
  </si>
  <si>
    <t>cst_shinsei_xx_STRUCT_NOTIFT_TUIKA_DATE</t>
  </si>
  <si>
    <t>cst_shinsei_xx_STRUCT_NOTIFT_DOCNO</t>
  </si>
  <si>
    <t>cst_shinsei_xx_STRUCT_HENKOU_NOTIFT_DATE</t>
  </si>
  <si>
    <t>cst_shinsei_xx_STRUCT_HENKOU_LIMIT_DATE</t>
  </si>
  <si>
    <t>cst_shinsei_xx_STRUCT_TUIKA_DOCNO</t>
  </si>
  <si>
    <t>理事長 勢力 常史</t>
  </si>
  <si>
    <t>理事長 強瀬　良雄</t>
  </si>
  <si>
    <t>代表取締役社長 小林　勝一</t>
  </si>
  <si>
    <t>棟別情報30</t>
  </si>
  <si>
    <t>cst_shinsei_CHARGE_ID__BASIC_CHARGE</t>
  </si>
  <si>
    <t>cst_shinsei_CHARGE_ID__TIIKIWARIMASHI_SURYOU</t>
  </si>
  <si>
    <t>cst_shinsei_CHARGE_ID__TIIKIWARIMASHI_TANKA</t>
  </si>
  <si>
    <t>cst_shinsei_CHARGE_ID__TIIKIWARIMASHI_CHARGE</t>
  </si>
  <si>
    <t>cst_shinsei_CHARGE_ID__meisai01_SURYOU</t>
  </si>
  <si>
    <t>cst_shinsei_CHARGE_ID__meisai01_TANKA</t>
  </si>
  <si>
    <t>cst_shinsei_CHARGE_ID__meisai01_SYOUKEI</t>
  </si>
  <si>
    <t>交付できない通知 - 備考（ラベル）の表示1 &lt;期限付の行に用いる&gt;</t>
  </si>
  <si>
    <t>交付できない通知 - 備考（ラベル）の表示2 &lt;備考の行に用いる&gt;</t>
  </si>
  <si>
    <t>cst_shinsei_PROVO_TANTO_USER_ID</t>
  </si>
  <si>
    <t>cst_shinsei_HIKIUKE_TANTO</t>
  </si>
  <si>
    <t>設計事務所</t>
  </si>
  <si>
    <t>構造事務所</t>
  </si>
  <si>
    <t>**shinsei_build_address</t>
  </si>
  <si>
    <t>**shinsei_build_JYUKYO__address</t>
  </si>
  <si>
    <t>共通処理 データ関数処理シート（機関専用処理）</t>
  </si>
  <si>
    <t>項目名</t>
  </si>
  <si>
    <t>セル名</t>
  </si>
  <si>
    <t>データ</t>
  </si>
  <si>
    <t>Customセル名</t>
  </si>
  <si>
    <t>cst_charge_income_INCOME_DATE</t>
  </si>
  <si>
    <t>入金日</t>
  </si>
  <si>
    <t>cst_CORP_INFO__list_box_ctrl__</t>
  </si>
  <si>
    <t>cst_CORP_INFO__list_box_ctrl__charge_income_INCOME_DATE</t>
  </si>
  <si>
    <t>cst_PRESENTER_CORPTYPE__</t>
  </si>
  <si>
    <t>cst_PRESENTER_CORP__</t>
  </si>
  <si>
    <t>cst_PRESENTER_DAIHYOSYA__</t>
  </si>
  <si>
    <t>cst_PRESENTER_ADDRESS__</t>
  </si>
  <si>
    <t>cst_PRESENTER_ADDRESS2__</t>
  </si>
  <si>
    <t>cst_shinsei_final_KAN_KANRYOU_YOTEI_DATE</t>
  </si>
  <si>
    <t>date</t>
  </si>
  <si>
    <t>◇ 確認・中間・完了</t>
  </si>
  <si>
    <t>cst_shinsei_KOUJI_KANRYOU_DATE__common</t>
  </si>
  <si>
    <t>●</t>
  </si>
  <si>
    <t>cst_shinsei_KOUJI_KANRYOU_DATE__common__disp</t>
  </si>
  <si>
    <t>cst_shinsei_ev_KOUSAKU_TAKASA_MAX</t>
  </si>
  <si>
    <t>cst_shinsei_ev_KOUSAKU_TAKASA_BIKO</t>
  </si>
  <si>
    <t>cst_shinsei_ev_KOUSAKU_KOUZOU</t>
  </si>
  <si>
    <t>cst_shinsei_ev_KOUSAKU_SONOTA</t>
  </si>
  <si>
    <t>cst_shinsei_ev_KOUSAKU882_YOUTO</t>
  </si>
  <si>
    <t>cst_shinsei_ev_TIKUZOUMENSEKI_SHINSEI</t>
  </si>
  <si>
    <t>cst_shinsei_ev_TIKUZOUMENSEKI_IGAI</t>
  </si>
  <si>
    <t>cst_shinsei_ev_TIKUZOUMENSEKI_TOTAL</t>
  </si>
  <si>
    <t>cst_shinsei_WORK_TYPE</t>
  </si>
  <si>
    <t>cst_shinsei_WORK_88</t>
  </si>
  <si>
    <t>1, 2</t>
  </si>
  <si>
    <t>shinsei_BUILDSHINSEI_ISSUE_NO__add_disp</t>
  </si>
  <si>
    <t>建築主１</t>
  </si>
  <si>
    <t>フリガナ</t>
  </si>
  <si>
    <t>役職</t>
  </si>
  <si>
    <t>氏名</t>
  </si>
  <si>
    <t>■ 引受通知、交付証、審査・検査報告書処理</t>
  </si>
  <si>
    <t>構造計算適合性判定</t>
  </si>
  <si>
    <t>通常処理</t>
  </si>
  <si>
    <t>■ 処理 - 確認済証・合格証・検査済証処理</t>
  </si>
  <si>
    <t>□ 確認申請</t>
  </si>
  <si>
    <t>■ 受付 - 引受処理</t>
  </si>
  <si>
    <t>■ 処理 - 期限付・無期限・不適合処理</t>
  </si>
  <si>
    <t>文字列出力の処理</t>
  </si>
  <si>
    <t xml:space="preserve"> - 文字列出力</t>
  </si>
  <si>
    <t>通知日</t>
  </si>
  <si>
    <t>報告日</t>
  </si>
  <si>
    <t>三か所調査版</t>
  </si>
  <si>
    <t>cst_kakaru_shinsei_ISSUE_DATE</t>
  </si>
  <si>
    <t>cst_shinsei_KAKU_SUMI_NO__disp</t>
  </si>
  <si>
    <t>cst_shinsei_KAKU_SUMI_KOUFU_DATE__disp</t>
  </si>
  <si>
    <t>cst_shinsei_KAKU_SUMI_KOUFU_NAME__code</t>
  </si>
  <si>
    <t>■ 番号処理</t>
  </si>
  <si>
    <t>引受番号</t>
  </si>
  <si>
    <t>交付番号</t>
  </si>
  <si>
    <t>cst_shinsei_UKETUKE_NO</t>
  </si>
  <si>
    <t>cst_shinsei_UKETUKE_NO__disp</t>
  </si>
  <si>
    <t>手数料（合計）</t>
  </si>
  <si>
    <t>cst_shinsei_CHARGE_ID__RECEIPT_PRICE</t>
  </si>
  <si>
    <t>cst_shinsei_CHARGE_ID__RECEIPT_PRICE__disp</t>
  </si>
  <si>
    <t>■ 確認検査機関</t>
  </si>
  <si>
    <t>【 組織情報 】</t>
  </si>
  <si>
    <t>会社（帳票上部の署名部分）</t>
  </si>
  <si>
    <t>dOFFICE_name シートで履歴管理</t>
  </si>
  <si>
    <t>法人種別</t>
  </si>
  <si>
    <t>cst_shinsei_CHARGE_ID__meisai06_TANKA</t>
  </si>
  <si>
    <t>建築主７</t>
  </si>
  <si>
    <t>**shinsei_owner7_CORP</t>
  </si>
  <si>
    <t>**shinsei_owner7_NAME_KANA</t>
  </si>
  <si>
    <t>**shinsei_owner7_POST</t>
  </si>
  <si>
    <t>**shinsei_owner7_NAME</t>
  </si>
  <si>
    <t>**shinsei_owner7_POST_CODE</t>
  </si>
  <si>
    <t>**shinsei_owner7__address</t>
  </si>
  <si>
    <t>**shinsei_owner7_TEL</t>
  </si>
  <si>
    <t>建築主８</t>
  </si>
  <si>
    <t>**shinsei_owner8_CORP</t>
  </si>
  <si>
    <t>**shinsei_owner8_NAME_KANA</t>
  </si>
  <si>
    <t>・確認手数料計算書</t>
  </si>
  <si>
    <t>床面積（㎡）の合計</t>
  </si>
  <si>
    <t>左記以外のもの</t>
  </si>
  <si>
    <t>cst_shinsei_CHARGE_ID__meisai10_TANKA</t>
  </si>
  <si>
    <t>cst_shinsei_CHARGE_ID__meisai10_SYOUKEI</t>
  </si>
  <si>
    <t>cst_shinsei_CHARGE_ID__meisai11_SURYOU</t>
  </si>
  <si>
    <t>cst_shinsei_CHARGE_ID__meisai11_TANKA</t>
  </si>
  <si>
    <t>cst_shinsei_CHARGE_ID__meisai11_SYOUKEI</t>
  </si>
  <si>
    <t>入金日1</t>
  </si>
  <si>
    <t>cst_shinsei_CHARGE_ID__income01_INCOME_DATE</t>
  </si>
  <si>
    <t>入金日2</t>
  </si>
  <si>
    <t>cst_shinsei_CHARGE_ID__income02_INCOME_DATE</t>
  </si>
  <si>
    <t>入金日3</t>
  </si>
  <si>
    <t>cst_shinsei_CHARGE_ID__income03_INCOME_DATE</t>
  </si>
  <si>
    <t>入金額1</t>
  </si>
  <si>
    <t>cst_shinsei_CHARGE_ID__income01_INCOME_MONEY</t>
  </si>
  <si>
    <t>入金額2</t>
  </si>
  <si>
    <t>cst_shinsei_CHARGE_ID__income02_INCOME_MONEY</t>
  </si>
  <si>
    <t>入金額3</t>
  </si>
  <si>
    <t>cst_shinsei_CHARGE_ID__income03_INCOME_MONEY</t>
  </si>
  <si>
    <t>cst_shinsei_STR_SHINSEI_TOWERS</t>
  </si>
  <si>
    <t>[ - ]出力</t>
  </si>
  <si>
    <t>[ 0 ]出力</t>
  </si>
  <si>
    <t>cst_shinsei_build_NOBE_MENSEKI_BILL_SHINSEI_IGAI__minus</t>
  </si>
  <si>
    <t xml:space="preserve"> - マイナス表示</t>
  </si>
  <si>
    <t>cst_shinsei_build_KAISU_TIKA_SHINSEI__minus</t>
  </si>
  <si>
    <t>cst_shinsei_CHARGE_ID__meisai04_SURYOU</t>
  </si>
  <si>
    <t>cst_shinsei_CHARGE_ID__meisai04_TANKA</t>
  </si>
  <si>
    <t>cst_shinsei_CHARGE_ID__meisai04_SYOUKEI</t>
  </si>
  <si>
    <t>cst_shinsei_CHARGE_ID__meisai05_SURYOU</t>
  </si>
  <si>
    <t>cst_shinsei_CHARGE_ID__meisai05_TANKA</t>
  </si>
  <si>
    <t>cst_shinsei_CHARGE_ID__meisai05_SYOUKEI</t>
  </si>
  <si>
    <t>cst_shinsei_CHARGE_ID__meisai06_SURYOU</t>
  </si>
  <si>
    <t>ＦＡＸ番号</t>
  </si>
  <si>
    <t>cst_shinsei_DAIRI_TEL</t>
  </si>
  <si>
    <t>**shinsei_DAIRI_TEL</t>
  </si>
  <si>
    <t>電話番号</t>
  </si>
  <si>
    <t>cst_shinsei_DAIRI__address</t>
  </si>
  <si>
    <t>**shinsei_DAIRI__address</t>
  </si>
  <si>
    <t>所在地</t>
  </si>
  <si>
    <t>申請者</t>
  </si>
  <si>
    <t>フリガナ</t>
  </si>
  <si>
    <t>cst_shinsei_intermediate_BILL_KOUJI_ZOUTIKU</t>
  </si>
  <si>
    <t>cst_shinsei_intermediate_BILL_KOUJI_KAITIKU</t>
  </si>
  <si>
    <t>cst_shinsei_intermediate_BILL_KOUJI_ITEN</t>
  </si>
  <si>
    <t>cst_shinsei_intermediate_BILL_KOUJI_DAI_SYUUZEN</t>
  </si>
  <si>
    <t>cst_shinsei_intermediate_BILL_KOUJI_DAI_MOYOUGAE</t>
  </si>
  <si>
    <t>cst_shinsei_intermediate_BILL_KOUJI_SETUBISETTI</t>
  </si>
  <si>
    <t>cst_shinsei_final_KOUJI_SINTIKU</t>
  </si>
  <si>
    <t>cst_shinsei_final_KOUJI_ZOUTIKU</t>
  </si>
  <si>
    <t>cst_shinsei_final_KOUJI_KAITIKU</t>
  </si>
  <si>
    <t>cst_shinsei_final_KOUJI_ITEN</t>
  </si>
  <si>
    <t>cst_shinsei_final_KOUJI_DAI_SYUUZEN</t>
  </si>
  <si>
    <t>cst_shinsei_final_KOUJI_DAI_MOYOUGAE</t>
  </si>
  <si>
    <t>cst_shinsei_final_KOUJI_SETUBISETTI</t>
  </si>
  <si>
    <t>セル出力情報：</t>
  </si>
  <si>
    <t>判定機関</t>
  </si>
  <si>
    <t>判定事前通知日</t>
  </si>
  <si>
    <t>決定した代表者名（様付)</t>
  </si>
  <si>
    <t>NoObject</t>
  </si>
  <si>
    <t>条件に一致する帳票が無い場合に表示するシート</t>
  </si>
  <si>
    <t>cst_PRESENTER_ADDRESS2__Jizen</t>
  </si>
  <si>
    <t>cst_PRESENTER_ADDRESS__Hikiuke</t>
  </si>
  <si>
    <t>cst_PRESENTER_ADDRESS2__Hikiuke</t>
  </si>
  <si>
    <t>cst_PRESENTER_ADDRESS__HikiukeTuuchi</t>
  </si>
  <si>
    <t>**prule_kaisusum__3le</t>
  </si>
  <si>
    <t>**prule_kaisusum__4ge</t>
  </si>
  <si>
    <t>**prule_strcalcbookflag_yes</t>
  </si>
  <si>
    <t>**prule_prefofficeflag_yes</t>
  </si>
  <si>
    <t>**prule_purifiertankflag_yes</t>
  </si>
  <si>
    <t>**prule_purifiertankflag_no</t>
  </si>
  <si>
    <t>**prule_kouteitext_yes</t>
  </si>
  <si>
    <t>**prule_kouteitext_no</t>
  </si>
  <si>
    <t>**prule_interflag_yes</t>
  </si>
  <si>
    <t>**prule_interflag_no</t>
  </si>
  <si>
    <t>**prule_tokurei1323_yes</t>
  </si>
  <si>
    <t>**prule_tokurei1323_no</t>
  </si>
  <si>
    <t>**prule_tokurei1324_yes</t>
  </si>
  <si>
    <t>**prule_tokurei1324_no</t>
  </si>
  <si>
    <t>**prule_tokurei1321_yes</t>
  </si>
  <si>
    <t>**prule_tokurei1321_no</t>
  </si>
  <si>
    <t>**prule_hikageflag_yes</t>
  </si>
  <si>
    <t>**prule_hikageflag_no</t>
  </si>
  <si>
    <t>**prule_tokurei567_yes</t>
  </si>
  <si>
    <t>**prule_tokurei567_no</t>
  </si>
  <si>
    <t>**prule_SHINSEI_SYUBETU__1</t>
  </si>
  <si>
    <t>**prule_SHINSEI_SYUBETU__2</t>
  </si>
  <si>
    <t>**prule_SHINSEI_SYUBETU__4</t>
  </si>
  <si>
    <t>**prule_SHINSEI_SYUBETU__5</t>
  </si>
  <si>
    <t>**prule_SHINSEI_SYUBETU__</t>
  </si>
  <si>
    <t>**prule_work_entotu</t>
  </si>
  <si>
    <t>**prule_work_billboard</t>
  </si>
  <si>
    <t>**prule_work_youheki</t>
  </si>
  <si>
    <t>**prule_work_tekkinhashira</t>
  </si>
  <si>
    <t>**prule_work_play</t>
  </si>
  <si>
    <t>**prule_work_plant</t>
  </si>
  <si>
    <t>**prule_work_jyouyou</t>
  </si>
  <si>
    <t>**prule_work_other</t>
  </si>
  <si>
    <t>cst_charge_strtower20_CHARGE_TOTAL</t>
  </si>
  <si>
    <t>cst_charge_strtower20_CHARGE__ctrl</t>
  </si>
  <si>
    <t>cst_charge_strtower21_CHARGE</t>
  </si>
  <si>
    <t>cst_charge_strtower21_CHARGE_WARIMASHI</t>
  </si>
  <si>
    <t>cst_charge_strtower21_CHARGE_TOTAL</t>
  </si>
  <si>
    <t>cst_charge_strtower21_CHARGE__ctrl</t>
  </si>
  <si>
    <t>構造判定</t>
  </si>
  <si>
    <t>cst_shinsei_strtower01_JUDGE</t>
  </si>
  <si>
    <t>和歌山市の場合　不要を表示</t>
  </si>
  <si>
    <t>cst_Wakayama</t>
  </si>
  <si>
    <t>検査予定日</t>
  </si>
  <si>
    <t>■ 引受処理</t>
  </si>
  <si>
    <t>cst_shinsei_HIKIUKE_KAKU_KOUFU_YOTEI_DATE</t>
  </si>
  <si>
    <t>**shinsei_NG2_NOTIFY_ID__KENSAIN_USER_ID</t>
  </si>
  <si>
    <t>**shinsei_NG2_NOTIFY_ID__KENSA_DATE</t>
  </si>
  <si>
    <t>**shinsei_NG2_NOTIFY_ID__LIMIT_DATE</t>
  </si>
  <si>
    <t>cst_shinsei_BUILD_NAME_COMP</t>
  </si>
  <si>
    <t>cst_shinsei_STRUCTRESULT_NOTIFY_KOUFU_NAME</t>
  </si>
  <si>
    <t>備考</t>
  </si>
  <si>
    <t>構造計算適合性判定結果通知</t>
  </si>
  <si>
    <t>通知日</t>
  </si>
  <si>
    <t>cst_shinsei_STRUCTRESULT_NOTIFY_DATE</t>
  </si>
  <si>
    <t>通知番号</t>
  </si>
  <si>
    <t>cst_shinsei_STRUCTRESULT_NOTIFY_NO</t>
  </si>
  <si>
    <t>判定結果</t>
  </si>
  <si>
    <t>cst_shinsei_STRUCTRESULT_NOTIFY_RESULT</t>
  </si>
  <si>
    <t>cst_shinsei_build_STAT_SEPTICTANK_KIBO</t>
  </si>
  <si>
    <t>伝票番号</t>
  </si>
  <si>
    <t>○請求先（旧名：得意先）</t>
  </si>
  <si>
    <t>郵便番号</t>
  </si>
  <si>
    <t>**shinsei_CHARGE_ID__cust__zip</t>
  </si>
  <si>
    <t>住所</t>
  </si>
  <si>
    <t>**shinsei_CHARGE_ID__cust__address</t>
  </si>
  <si>
    <t>名称</t>
  </si>
  <si>
    <t>愛知県名古屋市</t>
  </si>
  <si>
    <t>名古屋市消防局</t>
  </si>
  <si>
    <t>cst_PRESENTER_CORP__HikiukeTuuchi</t>
  </si>
  <si>
    <t>cst_PRESENTER_DAIHYOSYA__HikiukeTuuchi</t>
  </si>
  <si>
    <t>cst_CORP_INFO__list_box_ctrl__Issue</t>
  </si>
  <si>
    <t>cst_PRESENTER_CORPTYPE__Issue</t>
  </si>
  <si>
    <t>cst_PRESENTER_CORP__Issue</t>
  </si>
  <si>
    <t>cst_PRESENTER_DAIHYOSYA__Issue</t>
  </si>
  <si>
    <t>cst_CORP_INFO__list_box_ctrl__KoufuFuka</t>
  </si>
  <si>
    <t>cst_PRESENTER_CORPTYPE__KoufuFuka</t>
  </si>
  <si>
    <t>※確認時：空欄, 計画変更時：当該確認番号（自分）</t>
  </si>
  <si>
    <t>【ｲ.確認済証交付者】</t>
  </si>
  <si>
    <t>【ﾛ.確認済証番号】</t>
  </si>
  <si>
    <t>　　    年    月    日</t>
  </si>
  <si>
    <t>検査員</t>
  </si>
  <si>
    <t>cst_shinsei__REPORT_DATE</t>
  </si>
  <si>
    <t>cst_shinsei__NOTIFY_DATE</t>
  </si>
  <si>
    <t>名称</t>
  </si>
  <si>
    <t>**shinsei_build_YOUTO</t>
  </si>
  <si>
    <t>cst_shinsei_build_YOUTO</t>
  </si>
  <si>
    <t>延べ面積</t>
  </si>
  <si>
    <t>建築物全体（申請部分）</t>
  </si>
  <si>
    <t>**shinsei_build_NOBE_MENSEKI_BILL_SHINSEI</t>
  </si>
  <si>
    <t>cst_shinsei_build_NOBE_MENSEKI_BILL_SHINSEI</t>
  </si>
  <si>
    <t xml:space="preserve">#,##0.00_ </t>
  </si>
  <si>
    <t>**shinsei_build_NOBE_MENSEKI_BILL_SHINSEI_IGAI__zero</t>
  </si>
  <si>
    <t>cst_office_OFFICE_NAME</t>
  </si>
  <si>
    <t>郵便番号</t>
  </si>
  <si>
    <t>住所</t>
  </si>
  <si>
    <t>cst_office_ADDRESS</t>
  </si>
  <si>
    <t>● Standard, Advanced, Evolution</t>
  </si>
  <si>
    <t>建築物_確認チェックシート</t>
  </si>
  <si>
    <t>建築物_検査チェックシート</t>
  </si>
  <si>
    <t>cst_shinsei_KOUJI_YUKA_MENSEKI</t>
  </si>
  <si>
    <t>Customデータ</t>
  </si>
  <si>
    <t>備考</t>
  </si>
  <si>
    <t>HLPA専用 事前審査画面内、項目</t>
  </si>
  <si>
    <t>意匠担当者</t>
  </si>
  <si>
    <t>地階を含めた階数</t>
  </si>
  <si>
    <t>申請種別</t>
  </si>
  <si>
    <t>財団法人日本建築センター</t>
  </si>
  <si>
    <t>財団法人日本建築設備・昇降機センター</t>
  </si>
  <si>
    <t>財団法人ベターリビング</t>
  </si>
  <si>
    <t>財団法人住宅金融普及協会</t>
  </si>
  <si>
    <t>財団法人東京都防災・建築まちづくりセンター</t>
  </si>
  <si>
    <t>財団法人神奈川県建築安全協会</t>
  </si>
  <si>
    <t>cst_PRESENTER_ADDRESS__charge_receipt_date</t>
  </si>
  <si>
    <t>cst_PRESENTER_ADDRESS2__charge_receipt_date</t>
  </si>
  <si>
    <t>shinsei_PROVO_DATE</t>
  </si>
  <si>
    <t>shinsei_ACCEPT_DATE</t>
  </si>
  <si>
    <t>建築物_処理経過票</t>
  </si>
  <si>
    <t>建築物_処理経過票（計画変更含む）</t>
  </si>
  <si>
    <t>cst_shinsei_strtuikaimposs6_STRUCT_TUIKA_DATE</t>
  </si>
  <si>
    <t>鳥取県</t>
  </si>
  <si>
    <t>島根県</t>
  </si>
  <si>
    <t>岡山県</t>
  </si>
  <si>
    <t>広島県</t>
  </si>
  <si>
    <t>山口県</t>
  </si>
  <si>
    <t>徳島県</t>
  </si>
  <si>
    <t>香川県</t>
  </si>
  <si>
    <t>愛媛県</t>
  </si>
  <si>
    <t>高知県</t>
  </si>
  <si>
    <t>福岡県</t>
  </si>
  <si>
    <t>行政庁区分</t>
  </si>
  <si>
    <t>所轄行政庁情報</t>
  </si>
  <si>
    <t>送付先名称</t>
  </si>
  <si>
    <t>建築主事名</t>
  </si>
  <si>
    <t>特定行政庁名</t>
  </si>
  <si>
    <t>cst_shinsei_ev_EV_COUNT</t>
  </si>
  <si>
    <t>cst_shinsei__REPORT_STRUCTRESULT_KOUFU_NAME</t>
  </si>
  <si>
    <t>cst_HIKIUKE_TUUCHISAKI__disp</t>
  </si>
  <si>
    <t>cst_HOUKOKUSAKI__disp</t>
  </si>
  <si>
    <t>適合, 不適合, 適合するかどうかを決定することができない</t>
  </si>
  <si>
    <t>cst_shinsei__REPORT_RESULT</t>
  </si>
  <si>
    <t>確認審査の結果</t>
  </si>
  <si>
    <t>主に引受・引受通知・検査報告書用</t>
  </si>
  <si>
    <t>交付以外にも用いる為に空白時に記号を出さない</t>
  </si>
  <si>
    <t>主に審査報告書用</t>
  </si>
  <si>
    <t>確認：（交付：自分, 不可：－－）, 検査：係る確認</t>
  </si>
  <si>
    <t>確認済証番号</t>
  </si>
  <si>
    <t>cst_shinsei__REPORT_KAKU_SUMI_NO</t>
  </si>
  <si>
    <t>cst_shinsei__REPORT_KAKU_SUMI_NO__disp</t>
  </si>
  <si>
    <t>建築主２</t>
  </si>
  <si>
    <t>**shinsei_owner2_NAME_KANA</t>
  </si>
  <si>
    <t>**shinsei_owner2_POST</t>
  </si>
  <si>
    <t>**shinsei_owner2_NAME</t>
  </si>
  <si>
    <t>**shinsei_owner2_POST_CODE</t>
  </si>
  <si>
    <t>**shinsei_owner2__address</t>
  </si>
  <si>
    <t>**shinsei_owner2_TEL</t>
  </si>
  <si>
    <t>**charge_meisai07_SURYOU</t>
  </si>
  <si>
    <t>**charge_meisai07_TANKA</t>
  </si>
  <si>
    <t>cst_charge_meisai07_SYOUKEI</t>
  </si>
  <si>
    <t>**charge_meisai08_SURYOU</t>
  </si>
  <si>
    <t>**charge_meisai08_TANKA</t>
  </si>
  <si>
    <t>cst_charge_meisai08_SYOUKEI</t>
  </si>
  <si>
    <t>**charge_meisai09_SURYOU</t>
  </si>
  <si>
    <t>**charge_meisai09_TANKA</t>
  </si>
  <si>
    <t>cst_charge_meisai09_SYOUKEI</t>
  </si>
  <si>
    <t>**charge_meisai10_SURYOU</t>
  </si>
  <si>
    <t>**charge_meisai10_TANKA</t>
  </si>
  <si>
    <t>cst_charge_meisai10_SYOUKEI</t>
  </si>
  <si>
    <t>**charge_meisai11_SURYOU</t>
  </si>
  <si>
    <t>**charge_meisai11_TANKA</t>
  </si>
  <si>
    <t>cst_charge_meisai11_SYOUKEI</t>
  </si>
  <si>
    <t>cst_charge_income01_INCOME_DATE</t>
  </si>
  <si>
    <t>cst_charge_income02_INCOME_DATE</t>
  </si>
  <si>
    <t>cst_charge_income03_INCOME_DATE</t>
  </si>
  <si>
    <t>cst_shinsei_ev_EV_SONOTA</t>
  </si>
  <si>
    <t>cst_shinsei_EV_TYPE</t>
  </si>
  <si>
    <t>適判受付日</t>
  </si>
  <si>
    <t>cst_shinsei_STRIRAI_TEKIHAN_ACCEPT_DATE</t>
  </si>
  <si>
    <t>■ 連絡先構造担当者1リスト</t>
  </si>
  <si>
    <t>選択した社員をリストで検索した結果</t>
  </si>
  <si>
    <t>cst_RENRAKUSAKI_KOUZOU_TANTOU__search</t>
  </si>
  <si>
    <t>●</t>
  </si>
  <si>
    <t>リストに登録したE-Mailアドレス</t>
  </si>
  <si>
    <t>● 最終決定した担当者</t>
  </si>
  <si>
    <t>一般用</t>
  </si>
  <si>
    <t>cst_shinsei_owner6_TEL</t>
  </si>
  <si>
    <t>cst_shinsei_owner7_CORP</t>
  </si>
  <si>
    <t>cst_shinsei_owner7_NAME_KANA</t>
  </si>
  <si>
    <t>cst_shinsei_owner7_POST</t>
  </si>
  <si>
    <t>cst_shinsei_owner7_NAME</t>
  </si>
  <si>
    <t>cst_shinsei_owner7_POST_CODE</t>
  </si>
  <si>
    <t>cst_shinsei_owner7__address</t>
  </si>
  <si>
    <t>cst_shinsei_owner7_TEL</t>
  </si>
  <si>
    <t>cst_shinsei_owner8_CORP</t>
  </si>
  <si>
    <t>cst_shinsei_owner8_NAME_KANA</t>
  </si>
  <si>
    <t>cst_shinsei_owner8_POST</t>
  </si>
  <si>
    <t>cst_shinsei_owner8_NAME</t>
  </si>
  <si>
    <t>cst_shinsei_owner8_POST_CODE</t>
  </si>
  <si>
    <t>cst_shinsei_owner8__address</t>
  </si>
  <si>
    <t>cst_shinsei_owner8_TEL</t>
  </si>
  <si>
    <t>cst_shinsei_owner9_CORP</t>
  </si>
  <si>
    <t>cst_shinsei_owner9_NAME_KANA</t>
  </si>
  <si>
    <t>cst_shinsei_owner9_POST</t>
  </si>
  <si>
    <t>cst_shinsei_owner9_NAME</t>
  </si>
  <si>
    <t>cst_shinsei_owner9_POST_CODE</t>
  </si>
  <si>
    <t>cst_shinsei_owner9__address</t>
  </si>
  <si>
    <t>cst_shinsei_owner9_TEL</t>
  </si>
  <si>
    <t>cst_shinsei_impossx_NOTIFY_CAUSE</t>
  </si>
  <si>
    <t>cst_shinsei_impossx_NOTIFY_NOTE</t>
  </si>
  <si>
    <t>cst_shinsei_impossx_REPORT_DATE</t>
  </si>
  <si>
    <t>部署名</t>
  </si>
  <si>
    <t>宛名</t>
  </si>
  <si>
    <t>cst_shinsei_REPORT_DEST_KIND</t>
  </si>
  <si>
    <t>cst_city_CITY_KIND</t>
  </si>
  <si>
    <t>特定行政庁, 特別区, 限定特定行政庁, その他</t>
  </si>
  <si>
    <t>送付先名称</t>
  </si>
  <si>
    <t>cst_shinsei_REPORT_DEST_NAME</t>
  </si>
  <si>
    <t>txt</t>
  </si>
  <si>
    <t>部署名</t>
  </si>
  <si>
    <t>cst_shinsei_REPORT_DEST_DEPART_NAME</t>
  </si>
  <si>
    <t>ＦＡＸ番号</t>
  </si>
  <si>
    <t>cst_shinsei_REPORT_DEST_FAX</t>
  </si>
  <si>
    <t>建築主事名</t>
  </si>
  <si>
    <t>cst_shinsei_REPORT_DEST_SYUJI_NAME</t>
  </si>
  <si>
    <t>特定行政庁名</t>
  </si>
  <si>
    <t>cst_shinsei_REPORT_DEST_GYOUSEI_NAME</t>
  </si>
  <si>
    <t>送付先名称</t>
  </si>
  <si>
    <t>cst_city_CITY_PUBLIC_OFFICE_ID__NAME</t>
  </si>
  <si>
    <t>cst_city_CITY_PUBLIC_OFFICE_ID__DEPART_NAME</t>
  </si>
  <si>
    <t>cst_city_CITY_PUBLIC_OFFICE_ID__FAX</t>
  </si>
  <si>
    <t>cst_city_CITY_PUBLIC_OFFICE_ID__SYUJI_NAME</t>
  </si>
  <si>
    <t>cst_city_CITY_PUBLIC_OFFICE_ID__GYOUSEI_NAME</t>
  </si>
  <si>
    <t>cst_city_KEN1_PUBLIC_OFFICE_ID__NAME</t>
  </si>
  <si>
    <t>cst_city_KEN1_PUBLIC_OFFICE_ID__DEPART_NAME</t>
  </si>
  <si>
    <t>cst_PRESENTER_ADDRESS__Issue</t>
  </si>
  <si>
    <t>cst_PRESENTER_ADDRESS2__Issue</t>
  </si>
  <si>
    <t>cst_PRESENTER_ADDRESS__KoufuFuka</t>
  </si>
  <si>
    <t>cst_PRESENTER_ADDRESS2__KoufuFuka</t>
  </si>
  <si>
    <t>cst_PRESENTER_ADDRESS__FireTuuchi</t>
  </si>
  <si>
    <t>cst_PRESENTER_ADDRESS2__FireTuuchi</t>
  </si>
  <si>
    <t>cst_PRESENTER_ADDRESS__FireDoui</t>
  </si>
  <si>
    <t>cst_PRESENTER_ADDRESS2__FireDoui</t>
  </si>
  <si>
    <t>cst_PRESENTER_ADDRESS__JoukasouTuuchi</t>
  </si>
  <si>
    <t>cst_PRESENTER_ADDRESS2__JoukasouTuuchi</t>
  </si>
  <si>
    <t>領収日</t>
  </si>
  <si>
    <t>cst_shinsei_WORK_88</t>
  </si>
  <si>
    <t>法８８条区分（第１項、第２項）</t>
  </si>
  <si>
    <t>擁壁, 煙突, 乗用, 広告塔・高架水槽等, 鉄筋コンクリート造等の柱, 遊戯施設, プラント, その他, 煙突, 擁壁</t>
  </si>
  <si>
    <t>cst_shinsei_WORK_TYPE</t>
  </si>
  <si>
    <t>工作物：分類</t>
  </si>
  <si>
    <t>昇降機, ホームエレベータ, 小荷物専用昇降機</t>
  </si>
  <si>
    <t>shinsei_HIKIUKE_DATE</t>
  </si>
  <si>
    <t>shinsei_HIKIUKE_TUUTI_DATE</t>
  </si>
  <si>
    <t>shinsei_ISSUE_DATE</t>
  </si>
  <si>
    <t>cst_shinsei__NOTIFY_DATE</t>
  </si>
  <si>
    <t>cst_shinsei__REPORT_DATE</t>
  </si>
  <si>
    <t>shinsei_CHARGE_ID__bill__date</t>
  </si>
  <si>
    <t>shinsei_CHARGE_ID__RECEIPT_DATE</t>
  </si>
  <si>
    <t>shinsei_CHARGE_ID2__bill__date</t>
  </si>
  <si>
    <t>shinsei_CHARGE_ID2__RECEIPT_DATE</t>
  </si>
  <si>
    <t>shinsei_CHARGE_ID3__bill__date</t>
  </si>
  <si>
    <t>shinsei_CHARGE_ID3__RECEIPT_DATE</t>
  </si>
  <si>
    <t>charge_bill__date</t>
  </si>
  <si>
    <t>charge_RECEIPT_DATE</t>
  </si>
  <si>
    <t>shinsei_FIRE_SUBMIT_DATE</t>
  </si>
  <si>
    <t>shinsei_FIRE_NOTIFY_DATE</t>
  </si>
  <si>
    <t>shinsei_HEALTH_NOTIFY_DATE</t>
  </si>
  <si>
    <t>shinsei_STRPROVO_NOTIFY_DATE</t>
  </si>
  <si>
    <t>shinsei_STRIRAI_DATE</t>
  </si>
  <si>
    <t>shinsei_STR_EXCEEDED_DATE</t>
  </si>
  <si>
    <t>cst_shinsei__STRUCT_TUIKA_DATE</t>
  </si>
  <si>
    <t>cst_CORP_INFO__change_day_erea</t>
  </si>
  <si>
    <t>会社情報 履歴</t>
  </si>
  <si>
    <t>基点</t>
  </si>
  <si>
    <t>履歴</t>
  </si>
  <si>
    <t>開始日</t>
  </si>
  <si>
    <t>表記名</t>
  </si>
  <si>
    <t>基準日</t>
  </si>
  <si>
    <t>■ 確認済証 E ■</t>
  </si>
  <si>
    <t>cst_p2_shinsei_ISSUE_DATE__disp</t>
  </si>
  <si>
    <t>cst_p2_shinsei_ISSUE_NO__disp</t>
  </si>
  <si>
    <t>cst_shinsei__NOTIFY_CAUSE</t>
  </si>
  <si>
    <t>cst_shinsei__NOTIFY_NOTE</t>
  </si>
  <si>
    <t>報告日（交付・交付不可共通）</t>
  </si>
  <si>
    <t>前処理</t>
  </si>
  <si>
    <t>建築主会社名+役職+氏名をひとつのセルにまとめて表示</t>
  </si>
  <si>
    <t>全ての建築主会社名+役職+氏名をひとつのセルにまとめて表示</t>
  </si>
  <si>
    <t>建築主１～建築主９</t>
  </si>
  <si>
    <t>cst_allthemembers_owner_name_all</t>
  </si>
  <si>
    <t>電話番号</t>
  </si>
  <si>
    <t>銀行情報</t>
  </si>
  <si>
    <t>銀行名</t>
  </si>
  <si>
    <t>支店名</t>
  </si>
  <si>
    <t>口座種類</t>
  </si>
  <si>
    <t>口座番号</t>
  </si>
  <si>
    <t>機関モード</t>
  </si>
  <si>
    <t>機関管理コード</t>
  </si>
  <si>
    <t>【 受付店情報 】</t>
  </si>
  <si>
    <t>受付店（本店・支店）</t>
  </si>
  <si>
    <t>会社名</t>
  </si>
  <si>
    <t>cst_charge_strtower29_CHARGE_WARIMASHI</t>
  </si>
  <si>
    <t>cst_charge_strtower29_CHARGE_TOTAL</t>
  </si>
  <si>
    <t>cst_charge_strtower29_CHARGE__ctrl</t>
  </si>
  <si>
    <t>cst_charge_strtower30_CHARGE</t>
  </si>
  <si>
    <t>cst_charge_strtower30_CHARGE_WARIMASHI</t>
  </si>
  <si>
    <t>cst_charge_strtower30_CHARGE_TOTAL</t>
  </si>
  <si>
    <t>cst_charge_strtower30_CHARGE__ctrl</t>
  </si>
  <si>
    <t>data_values_fee_detail END</t>
  </si>
  <si>
    <t>shinsei_CHARGE_ID__STR_CHARGE</t>
  </si>
  <si>
    <t>名古屋市消防局消防長</t>
  </si>
  <si>
    <t>デフォルト</t>
  </si>
  <si>
    <t>MODE : HLPA</t>
  </si>
  <si>
    <t>帳票作成ボタン</t>
  </si>
  <si>
    <t>備考：</t>
  </si>
  <si>
    <t>（セル名）</t>
  </si>
  <si>
    <t>（Customセル名）</t>
  </si>
  <si>
    <t>基本手数料</t>
  </si>
  <si>
    <t>明細合計</t>
  </si>
  <si>
    <t>cst_CHARGE_MEISAI_GOUKEI</t>
  </si>
  <si>
    <t>地域割増</t>
  </si>
  <si>
    <t>数量</t>
  </si>
  <si>
    <t>単価</t>
  </si>
  <si>
    <t>明細1</t>
  </si>
  <si>
    <t>cst_shinsei_CHARGE_ID__meisai01_ITEM_NAME</t>
  </si>
  <si>
    <t xml:space="preserve">#,##0_ </t>
  </si>
  <si>
    <t>金額</t>
  </si>
  <si>
    <t>明細2</t>
  </si>
  <si>
    <t>**shinsei_CHARGE_ID__meisai02_ITEM_NAME</t>
  </si>
  <si>
    <t>cst_shinsei_CHARGE_ID__meisai02_ITEM_NAME</t>
  </si>
  <si>
    <t>**shinsei_CHARGE_ID__meisai02_SURYOU</t>
  </si>
  <si>
    <t>**shinsei_CHARGE_ID__meisai02_TANKA</t>
  </si>
  <si>
    <t>**shinsei_CHARGE_ID__meisai02_SYOUKEI</t>
  </si>
  <si>
    <t>明細3</t>
  </si>
  <si>
    <t>**shinsei_CHARGE_ID__meisai03_ITEM_NAME</t>
  </si>
  <si>
    <t>cst_shinsei_CHARGE_ID__meisai03_ITEM_NAME</t>
  </si>
  <si>
    <t>**shinsei_CHARGE_ID__meisai03_SURYOU</t>
  </si>
  <si>
    <t>**shinsei_CHARGE_ID__meisai03_TANKA</t>
  </si>
  <si>
    <t>**shinsei_CHARGE_ID__meisai03_SYOUKEI</t>
  </si>
  <si>
    <t>明細4</t>
  </si>
  <si>
    <t>**shinsei_CHARGE_ID__meisai04_ITEM_NAME</t>
  </si>
  <si>
    <t>cst_shinsei_CHARGE_ID__meisai04_ITEM_NAME</t>
  </si>
  <si>
    <t>**shinsei_CHARGE_ID__meisai04_SURYOU</t>
  </si>
  <si>
    <t>**shinsei_CHARGE_ID__meisai04_TANKA</t>
  </si>
  <si>
    <t>**shinsei_CHARGE_ID__meisai04_SYOUKEI</t>
  </si>
  <si>
    <t>明細5</t>
  </si>
  <si>
    <t>cst_owner_name6__add_sp3code_sama</t>
  </si>
  <si>
    <t>*** 様</t>
  </si>
  <si>
    <t>cst_owner_name6__add_sama</t>
  </si>
  <si>
    <t>SP3を改行</t>
  </si>
  <si>
    <t>cst_owner_name6__add_sp3code</t>
  </si>
  <si>
    <t>氏名＋様</t>
  </si>
  <si>
    <t>建築主6 - 前処理</t>
  </si>
  <si>
    <t>cst_owner_name5__add_sp3code_sama</t>
  </si>
  <si>
    <t>cst_owner_name5__add_sama</t>
  </si>
  <si>
    <t>cst_owner_name5__add_sp3code</t>
  </si>
  <si>
    <t>建築主5 - 前処理</t>
  </si>
  <si>
    <t>cst_owner_name4__add_sp3code_sama</t>
  </si>
  <si>
    <t>cst_owner_name4__add_sama</t>
  </si>
  <si>
    <t>cst_owner_name4__add_sp3code</t>
  </si>
  <si>
    <t>建築主4 - 前処理</t>
  </si>
  <si>
    <t>cst_owner_name3__add_sp3code_sama</t>
  </si>
  <si>
    <t>cst_owner_name3__add_sama</t>
  </si>
  <si>
    <t>cst_owner_name3__add_sp3code</t>
  </si>
  <si>
    <t>建築主3 - 前処理</t>
  </si>
  <si>
    <t>cst_owner_name2__add_sp3code_sama</t>
  </si>
  <si>
    <t>cst_owner_name2__add_sama</t>
  </si>
  <si>
    <t>cst_shinsei_CHARGE_ID__meisai03_SYOUKEI</t>
  </si>
  <si>
    <t>限定特定行政庁</t>
  </si>
  <si>
    <t>その他</t>
  </si>
  <si>
    <t>ＦＡＸ送信</t>
  </si>
  <si>
    <t xml:space="preserve"> - 設計事務所</t>
  </si>
  <si>
    <t xml:space="preserve"> - 氏名</t>
  </si>
  <si>
    <t xml:space="preserve"> - 電話番号</t>
  </si>
  <si>
    <t xml:space="preserve"> - FAX</t>
  </si>
  <si>
    <t xml:space="preserve"> - Mail</t>
  </si>
  <si>
    <t>cst_shinsei__NOTIFY_LIMIT_DATE__date_in_NOTIFY_NOTE</t>
  </si>
  <si>
    <t>test</t>
  </si>
  <si>
    <t>期限年月日（期限付のみ表示）</t>
  </si>
  <si>
    <t>期限年月日（備考文中に日付を取り込んだ場合は非表示）</t>
  </si>
  <si>
    <t>期限付 - 特殊処理（前処理）</t>
  </si>
  <si>
    <t>期限付 - 特殊処理（前処理 - 日付のテキスト化）</t>
  </si>
  <si>
    <t>cst_shinsei__NOTIFY_LIMIT_DATE__lbl1</t>
  </si>
  <si>
    <t>cst_shinsei__NOTIFY_LIMIT_DATE__lbl2</t>
  </si>
  <si>
    <t>NOTE：手数料＝基本手数料＋構造計算適合性判定手数料＋（増減手数料＋適判割増手数料）</t>
  </si>
  <si>
    <t>適判支払日</t>
  </si>
  <si>
    <t>構造計算適合性判定手数料</t>
  </si>
  <si>
    <t>増減手数料合計</t>
  </si>
  <si>
    <t>cst_shinsei__STRUCTNOTIFT_HENKOU_NOTIFT_DATE</t>
  </si>
  <si>
    <t xml:space="preserve"> - 通知日バージョン</t>
  </si>
  <si>
    <t>cst_shinsei_ISSUE_NOTIFY_DATE</t>
  </si>
  <si>
    <t>cst_shinsei_ISSUE_NOTIFY_DATE__disp</t>
  </si>
  <si>
    <t>地域割増＋増減手数料合計＋適判割増手数料合計</t>
  </si>
  <si>
    <t>cst_charge_STR_CHARGE__CHARGE_WARIMASHI</t>
  </si>
  <si>
    <t xml:space="preserve"> - 期限日付</t>
  </si>
  <si>
    <t>cst_shinsei__NOTIFY_LIMIT_DATE__result_disp</t>
  </si>
  <si>
    <t>軽微な補正及び追加説明の提出期限：***</t>
  </si>
  <si>
    <t>入金日</t>
  </si>
  <si>
    <t>領収書１２３共通化処理</t>
  </si>
  <si>
    <t>入金額</t>
  </si>
  <si>
    <t>棟別情報01</t>
  </si>
  <si>
    <t>構造センター　判定業務部長  清水　俊雄</t>
  </si>
  <si>
    <t>確認検査機関</t>
  </si>
  <si>
    <t>日本膜構造協会</t>
  </si>
  <si>
    <t>理事長 山北 康雄</t>
  </si>
  <si>
    <t>建築住宅</t>
  </si>
  <si>
    <t>岐阜</t>
  </si>
  <si>
    <t>木材技術</t>
  </si>
  <si>
    <t>三重県建設技術</t>
  </si>
  <si>
    <t>近畿検査機関</t>
  </si>
  <si>
    <t>日本建築総合試験所</t>
  </si>
  <si>
    <t>総合試験所</t>
  </si>
  <si>
    <t>建築防災</t>
  </si>
  <si>
    <t>理事長 笹川　敏昌</t>
  </si>
  <si>
    <t>大阪建築</t>
  </si>
  <si>
    <t>理事長 荒木　憲昭</t>
  </si>
  <si>
    <t>兵庫県住宅建築総合</t>
  </si>
  <si>
    <t>理事長　依藤　庸正</t>
  </si>
  <si>
    <t>住宅建築総合</t>
  </si>
  <si>
    <t>cst_shinsei_STRUCTRESULT_NOTIFY_KOUFU_NAME</t>
  </si>
  <si>
    <r>
      <t>cst_JUDGE_OFFICE_DAIHYOUSHA</t>
    </r>
    <r>
      <rPr>
        <sz val="10"/>
        <color indexed="8"/>
        <rFont val="ＭＳ Ｐゴシック"/>
        <family val="3"/>
      </rPr>
      <t>__jizentuuti</t>
    </r>
  </si>
  <si>
    <t>cst_JUDGE_OFFICE_CORP_DAIHYOUSHA__jizentuuti</t>
  </si>
  <si>
    <t>cst_JUDGE_OFFICE_CORP_DAIHYOUSHA__jizentuuti_add_code</t>
  </si>
  <si>
    <t>cst_JUDGE_OFFICE_KOUZOUSEKININSHA__jizentuuti</t>
  </si>
  <si>
    <t>cst_JUDGE_OFFICE_CORP_KOUZOUSEKININSHA__jizentuuti</t>
  </si>
  <si>
    <t>cst_JUDGE_OFFICE_CORP_KOUZOUSEKININSHA__jizentuuti_add_code</t>
  </si>
  <si>
    <r>
      <t>cst_JUDGE_OFFICE_DAIHYOUSHA</t>
    </r>
    <r>
      <rPr>
        <sz val="10"/>
        <color indexed="8"/>
        <rFont val="ＭＳ Ｐゴシック"/>
        <family val="3"/>
      </rPr>
      <t>__irai</t>
    </r>
  </si>
  <si>
    <t>cst_JUDGE_OFFICE_CORP_DAIHYOUSHA__irai</t>
  </si>
  <si>
    <t>cst_shinsei_STRUCTRESULT_NOTIFY_KOUFU_NAME__houkoku__add_code</t>
  </si>
  <si>
    <t>cst_kakaru_shinsei_ACCEPT_DATE__mm</t>
  </si>
  <si>
    <t>係る確認の受付日 - 日</t>
  </si>
  <si>
    <t>cst_kakaru_shinsei_ACCEPT_DATE__dd</t>
  </si>
  <si>
    <t>係る確認の引受日 - 年</t>
  </si>
  <si>
    <t>cst_PRESENTER_DAIHYOSYA__FireTuuchi</t>
  </si>
  <si>
    <t>cst_CORP_INFO__list_box_ctrl__FireDoui</t>
  </si>
  <si>
    <t>cst_PRESENTER_CORPTYPE__FireDoui</t>
  </si>
  <si>
    <t>cst_PRESENTER_CORP__FireDoui</t>
  </si>
  <si>
    <t>cst_PRESENTER_DAIHYOSYA__FireDoui</t>
  </si>
  <si>
    <t>**shinsei_build_KAISU_TIKA_SHINSEI__zero</t>
  </si>
  <si>
    <t>cst_shinsei_build_KAISU_TIKA_SHINSEI__zero</t>
  </si>
  <si>
    <t>**shinsei_build_kouzou</t>
  </si>
  <si>
    <t>社内意匠一次担当者</t>
  </si>
  <si>
    <t>■ 建築物の名称又は工事名</t>
  </si>
  <si>
    <t xml:space="preserve"> - 検査済証に用いる最終名称を考慮した出力（検査済証・報告書用）</t>
  </si>
  <si>
    <t>cst_shinsei_BILL_NAME__common__last_name</t>
  </si>
  <si>
    <t xml:space="preserve"> - 検査済証に用いる最終名称を考慮した出力（報告書、旧名称用）</t>
  </si>
  <si>
    <t>cst_shinsei_BILL_NAME__common__last_name_before</t>
  </si>
  <si>
    <t>会長代行　常務理事　高田　英生</t>
  </si>
  <si>
    <t>屎尿浄化槽の構造形式の種類、面積</t>
  </si>
  <si>
    <t>cst_shinsei_SEPTICTANK_KOUZOU_SYURUI</t>
  </si>
  <si>
    <t>cst_PRESENTER_ADDRESS__Jizen</t>
  </si>
  <si>
    <t>cst_shinsei__NOTIFY_DATE__disp</t>
  </si>
  <si>
    <t>ひとつのセルで全ての建築主を表示。（改行付＋様付）</t>
  </si>
  <si>
    <t>cst_shinsei_build_KOUJI_KAITIKU</t>
  </si>
  <si>
    <t>cst_shinsei_build_KOUJI_ITEN</t>
  </si>
  <si>
    <t>cst_shinsei_build_KOUJI_YOUTOHENKOU</t>
  </si>
  <si>
    <t>cst_shinsei_build_KOUJI_DAI_SYUUZEN</t>
  </si>
  <si>
    <t>cst_shinsei_build_KOUJI_DAI_MOYOUGAE</t>
  </si>
  <si>
    <t>cst_shinsei_ev_KOUSAKU_KOUJI_SHINTIKU</t>
  </si>
  <si>
    <t>cst_shinsei_ev_KOUSAKU_KOUJI_KAITIKU</t>
  </si>
  <si>
    <t>cst_shinsei_ev_KOUSAKU_KOUJI_SONOTA</t>
  </si>
  <si>
    <t>cst_shinsei_ev_KOUSAKU_KOUJI_ZOUTIKU</t>
  </si>
  <si>
    <t>cst_shinsei_intermediate_BILL_KOUJI_SINTIKU</t>
  </si>
  <si>
    <t>（有 無）</t>
  </si>
  <si>
    <t>処理方式</t>
  </si>
  <si>
    <t>規模</t>
  </si>
  <si>
    <t>処理方法 + 規模</t>
  </si>
  <si>
    <t>理由</t>
  </si>
  <si>
    <t>空データ時、和暦表示</t>
  </si>
  <si>
    <t>cst_PRESENTER_CORPTYPE__charge_income_INCOME_DATE</t>
  </si>
  <si>
    <t>cst_PRESENTER_CORP__charge_income_INCOME_DATE</t>
  </si>
  <si>
    <t>□ 中間検査</t>
  </si>
  <si>
    <t>cst_shinsei__REPORT_STRUCTRESULT_NOTIFY_NO__search_disp</t>
  </si>
  <si>
    <t>cst_shinsei_ev_EV_TEIIN__tani</t>
  </si>
  <si>
    <t xml:space="preserve"> - 単位</t>
  </si>
  <si>
    <t>原子力関連・県庁扱い</t>
  </si>
  <si>
    <t>浄化槽</t>
  </si>
  <si>
    <t>中間情報</t>
  </si>
  <si>
    <t>中間CHK</t>
  </si>
  <si>
    <t>特例３号</t>
  </si>
  <si>
    <t>特例４号</t>
  </si>
  <si>
    <t>認定型式</t>
  </si>
  <si>
    <t>日影検討</t>
  </si>
  <si>
    <t>天空率</t>
  </si>
  <si>
    <t>煙突</t>
  </si>
  <si>
    <t>広告塔・高架水槽等</t>
  </si>
  <si>
    <t>社団法人日本膜構造協会</t>
  </si>
  <si>
    <t>財団法人愛知県建築住宅センター</t>
  </si>
  <si>
    <t>財団法人日本住宅・木材技術センター</t>
  </si>
  <si>
    <t>財団法人三重県建設技術センター</t>
  </si>
  <si>
    <t>財団法人日本建築総合試験所</t>
  </si>
  <si>
    <t>財団法人大阪建築防災センター</t>
  </si>
  <si>
    <t>財団法人兵庫県住宅建築総合センター</t>
  </si>
  <si>
    <t>期限付</t>
  </si>
  <si>
    <t>無期限</t>
  </si>
  <si>
    <t>不適合</t>
  </si>
  <si>
    <t>空欄</t>
  </si>
  <si>
    <t>有</t>
  </si>
  <si>
    <t>無</t>
  </si>
  <si>
    <t>３以下</t>
  </si>
  <si>
    <t>４以上</t>
  </si>
  <si>
    <t>（4号）</t>
  </si>
  <si>
    <t>（型式認定）</t>
  </si>
  <si>
    <t>（500㎡以下）</t>
  </si>
  <si>
    <t>（500㎡超）</t>
  </si>
  <si>
    <t>**prule_strkoufusya_住宅金融普及協会</t>
  </si>
  <si>
    <t>**prule_strkoufusya_神奈川県建築安全協会</t>
  </si>
  <si>
    <t>**prule_strkoufusya_さいたま住宅検査センタ</t>
  </si>
  <si>
    <t>**prule_strkoufusya_群馬県</t>
  </si>
  <si>
    <t>**prule_strkoufusya_日本ERI</t>
  </si>
  <si>
    <t>**prule_strkoufusya_東京建築検査機構</t>
  </si>
  <si>
    <t>**prule_strkoufusya_神奈川建築確認検査機関</t>
  </si>
  <si>
    <t>**prule_strkoufusya_日本膜構造協会</t>
  </si>
  <si>
    <t>**prule_strkoufusya_岐阜県</t>
  </si>
  <si>
    <t>**prule_strkoufusya_日本建築総合試験所</t>
  </si>
  <si>
    <t>**prule_hou6_999</t>
  </si>
  <si>
    <t>dSTART</t>
  </si>
  <si>
    <t>DATA</t>
  </si>
  <si>
    <t>dIMPOSSIBLE</t>
  </si>
  <si>
    <t>dFIRESTATION_info</t>
  </si>
  <si>
    <t>システム：消防署決定補助シート</t>
  </si>
  <si>
    <t>条件により決定する消防署の処理</t>
  </si>
  <si>
    <t>システム：構造適合性判定機関 代表者名履歴管理</t>
  </si>
  <si>
    <t>適判の代表者の履歴を管理するシート</t>
  </si>
  <si>
    <t>dOFFICE_name</t>
  </si>
  <si>
    <t>dINFOMATION</t>
  </si>
  <si>
    <t>入力エラーチェック</t>
  </si>
  <si>
    <t>入力エラー</t>
  </si>
  <si>
    <t>法６条区分未入力</t>
  </si>
  <si>
    <t>住所チェック未選択</t>
  </si>
  <si>
    <t>出力条件</t>
  </si>
  <si>
    <t>プリンタ</t>
  </si>
  <si>
    <t>→条件</t>
  </si>
  <si>
    <t>消防関係</t>
  </si>
  <si>
    <t>行政庁</t>
  </si>
  <si>
    <t>行政別出力項目（ＵＤＩ）</t>
  </si>
  <si>
    <t>申請データ情報</t>
  </si>
  <si>
    <t>申請データ選択項目</t>
  </si>
  <si>
    <t>工作物（種類）</t>
  </si>
  <si>
    <t>cst_shinsei_KOUZOU_TANTO3</t>
  </si>
  <si>
    <t>cst_shinsei_SETSUBI_TANTO</t>
  </si>
  <si>
    <t>cst_shinsei_SETSUBI_TANTO2</t>
  </si>
  <si>
    <t>cst_shinsei_SETSUBI_TANTO3</t>
  </si>
  <si>
    <t>ＩＰアドレス</t>
  </si>
  <si>
    <t>期限付情報取得用</t>
  </si>
  <si>
    <t>適判機関名</t>
  </si>
  <si>
    <t>追加説明書の提出（適判へ）用タブページ</t>
  </si>
  <si>
    <t>ビル管（保健所）</t>
  </si>
  <si>
    <t>請求書</t>
  </si>
  <si>
    <t>領収書</t>
  </si>
  <si>
    <t>構造計算適合性判定の結果通知書交付者</t>
  </si>
  <si>
    <t>構造判定</t>
  </si>
  <si>
    <t>住所チェック</t>
  </si>
  <si>
    <t>ビル管理法</t>
  </si>
  <si>
    <t>cst_shinsei_ng3_REPORT_DATE</t>
  </si>
  <si>
    <t>cst_shinsei_ngx_NOTIFY_DATE</t>
  </si>
  <si>
    <t>cst_shinsei_ngx_NOTIFY_USER</t>
  </si>
  <si>
    <t>cst_shinsei_ngx_NOTIFY_KENSA_DATE</t>
  </si>
  <si>
    <t>cst_shinsei_ngx_NOTIFY_CAUSE</t>
  </si>
  <si>
    <t>cst_shinsei_ngx_NOTIFY_NOTE</t>
  </si>
  <si>
    <t>cst_shinsei_ngx_REPORT_DATE</t>
  </si>
  <si>
    <t>cst_shinsei_ngx_CAUSE</t>
  </si>
  <si>
    <t>建築物全体（合計）</t>
  </si>
  <si>
    <t>**shinsei_build_NOBE_MENSEKI_BILL_SHINSEI_TOTAL</t>
  </si>
  <si>
    <t>cst_shinsei_build_NOBE_MENSEKI_BILL_SHINSEI_TOTAL</t>
  </si>
  <si>
    <t>申請棟数</t>
  </si>
  <si>
    <t>**shinsei_build_BILL_SHINSEI_COUNT</t>
  </si>
  <si>
    <t>cst_shinsei_build_BILL_SHINSEI_COUNT</t>
  </si>
  <si>
    <t>階数</t>
  </si>
  <si>
    <t>地上（申請に係る建築物）</t>
  </si>
  <si>
    <t>**shinsei_build_KAISU_TIJYOU_SHINSEI</t>
  </si>
  <si>
    <t>cst_shinsei_build_KAISU_TIJYOU_SHINSEI</t>
  </si>
  <si>
    <t>建築物の名称又は工事名、物件名、建築物名称</t>
  </si>
  <si>
    <t>cst_shinsei_BILL_NAME</t>
  </si>
  <si>
    <t>建築物、工作物</t>
  </si>
  <si>
    <t>cst_shinsei_BILL_NAME__common</t>
  </si>
  <si>
    <t>建築物・昇降機・工作物：建築物の名称</t>
  </si>
  <si>
    <t>建物の用途：</t>
  </si>
  <si>
    <t>cst_shinsei_ev_EV_BILL_YOUTO</t>
  </si>
  <si>
    <t>種別：</t>
  </si>
  <si>
    <t>cst_shinsei_ev_EV_SYUBETU</t>
  </si>
  <si>
    <t>cst_shinsei_ev_EV_YOUTO</t>
  </si>
  <si>
    <t>積載荷重：</t>
  </si>
  <si>
    <t>cst_shinsei_ev_EV_SEKISAI</t>
  </si>
  <si>
    <t>最大定員：</t>
  </si>
  <si>
    <t>cst_shinsei_ev_EV_TEIIN</t>
  </si>
  <si>
    <t>定格速度：</t>
  </si>
  <si>
    <t>cst_shinsei_ev_EV_SPEED</t>
  </si>
  <si>
    <t>昇降機の数：</t>
  </si>
  <si>
    <t>cst_shinsei_ev_EV_COUNT</t>
  </si>
  <si>
    <t>現地調査日</t>
  </si>
  <si>
    <t>奈良県, その他, 建築物, ４階以上：県庁情報（奈良県土木部まちづくり推進局建築課）</t>
  </si>
  <si>
    <t>○ 決定した移動量</t>
  </si>
  <si>
    <t>shinsei_REPORT_DEST_GYOUSEI_KIND</t>
  </si>
  <si>
    <t>● 決定した所轄行政庁情報</t>
  </si>
  <si>
    <t>送付先名称</t>
  </si>
  <si>
    <t>部署名</t>
  </si>
  <si>
    <t>ＦＡＸ番号</t>
  </si>
  <si>
    <t>建築主事名</t>
  </si>
  <si>
    <t>特定行政庁名</t>
  </si>
  <si>
    <t>市町村マスタ情報</t>
  </si>
  <si>
    <t>引受通知書 宛名</t>
  </si>
  <si>
    <t>審査報告書 宛名</t>
  </si>
  <si>
    <t>cst_shinsei_CHARGE_ID__bill__date</t>
  </si>
  <si>
    <t>平成    年    月    日</t>
  </si>
  <si>
    <t>cst_CORP_INFO__list_box_ctrl__charge_BASE_DATE</t>
  </si>
  <si>
    <t>cst_PRESENTER_CORPTYPE__charge_BASE_DATE</t>
  </si>
  <si>
    <t>cst_PRESENTER_CORP__charge_BASE_DATE</t>
  </si>
  <si>
    <t>cst_PRESENTER_DAIHYOSYA__charge_BASE_DATE</t>
  </si>
  <si>
    <t>cst_PRESENTER_ADDRESS__charge_BASE_DATE</t>
  </si>
  <si>
    <t>cst_PRESENTER_ADDRESS2__charge_BASE_DATE</t>
  </si>
  <si>
    <t>住所2</t>
  </si>
  <si>
    <t>判定依頼日</t>
  </si>
  <si>
    <t>cst_shinsei_CHARGE_ID__meisai02_SURYOU</t>
  </si>
  <si>
    <t>cst_shinsei_CHARGE_ID__meisai02_TANKA</t>
  </si>
  <si>
    <t>cst_shinsei_CHARGE_ID__meisai02_SYOUKEI</t>
  </si>
  <si>
    <t>cst_shinsei_CHARGE_ID__meisai03_SURYOU</t>
  </si>
  <si>
    <t>cst_shinsei_CHARGE_ID__meisai03_TANKA</t>
  </si>
  <si>
    <t>「第」「号」無し</t>
  </si>
  <si>
    <t>ビューローベリタスジャパン株式会社</t>
  </si>
  <si>
    <t>代表取締役社長 佐々木  泰介</t>
  </si>
  <si>
    <t>機関記号用範囲</t>
  </si>
  <si>
    <t>cst_JUDGE_OFFICE__erea__SIGN</t>
  </si>
  <si>
    <t>完全一致検索用範囲</t>
  </si>
  <si>
    <t>cst_JUDGE_OFFICE__erea__SEARCH_VALUE</t>
  </si>
  <si>
    <t>完全一致検索用略称(CODE)</t>
  </si>
  <si>
    <t>日本建築</t>
  </si>
  <si>
    <t>昇降機</t>
  </si>
  <si>
    <t>ベターリビング</t>
  </si>
  <si>
    <t>普及協会</t>
  </si>
  <si>
    <t>まちづくり</t>
  </si>
  <si>
    <t>神奈川安全協会</t>
  </si>
  <si>
    <t>さいたま</t>
  </si>
  <si>
    <t>千葉県</t>
  </si>
  <si>
    <t>茨城県</t>
  </si>
  <si>
    <t>静岡県</t>
  </si>
  <si>
    <t>ＥＲＩ</t>
  </si>
  <si>
    <t>都市居住</t>
  </si>
  <si>
    <t>ビューロ</t>
  </si>
  <si>
    <t>建築構造</t>
  </si>
  <si>
    <t>国際確認</t>
  </si>
  <si>
    <t>グッドアイズ</t>
  </si>
  <si>
    <t>東京建築</t>
  </si>
  <si>
    <t>アウェイ</t>
  </si>
  <si>
    <t>神奈川建築</t>
  </si>
  <si>
    <t>膜構造</t>
  </si>
  <si>
    <t>愛知県</t>
  </si>
  <si>
    <t>三重県</t>
  </si>
  <si>
    <t>cst_shinsei_CHARGE_ID__meisai11_ITEM_NAME</t>
  </si>
  <si>
    <t>申請棟数</t>
  </si>
  <si>
    <t>現金, 振込, 掛売（現金, 請求, コンビニ）</t>
  </si>
  <si>
    <t>現金（コンビニ時）</t>
  </si>
  <si>
    <t>**charge_CASH_FLAG</t>
  </si>
  <si>
    <t>0：無, 1：有</t>
  </si>
  <si>
    <t>請求書番号</t>
  </si>
  <si>
    <t>請求年月日</t>
  </si>
  <si>
    <t>請求先（旧名：得意先）</t>
  </si>
  <si>
    <t>申請延面積</t>
  </si>
  <si>
    <t>0円</t>
  </si>
  <si>
    <t>領収証宛名（団地名・建築主）</t>
  </si>
  <si>
    <t>伝票手数料</t>
  </si>
  <si>
    <t>№（伝票番号）</t>
  </si>
  <si>
    <t>備考（手数料詳細画面右下）</t>
  </si>
  <si>
    <t>cst_charge_RECEIPT__title</t>
  </si>
  <si>
    <t>=cst_owners_name__all_in_one_add_sp3code</t>
  </si>
  <si>
    <t>課、及び庁の場合：御中, その他：様を付加表示（改行処理）</t>
  </si>
  <si>
    <t>cst_shinsei_build_STAT_SEPTICTANK_CAPACITY</t>
  </si>
  <si>
    <t>棟別情報17</t>
  </si>
  <si>
    <t>棟別情報18</t>
  </si>
  <si>
    <t>棟別情報19</t>
  </si>
  <si>
    <t>棟別情報20</t>
  </si>
  <si>
    <t>棟別情報21</t>
  </si>
  <si>
    <t>cst_shinsei_HIKIUKE_TUUTI_DATE__add_disp</t>
  </si>
  <si>
    <t>cst_shinsei_CHARGE_ID__RECEIPT_DATE__add_disp</t>
  </si>
  <si>
    <t>領収証宛先</t>
  </si>
  <si>
    <t>棟別情報22</t>
  </si>
  <si>
    <t>棟別情報23</t>
  </si>
  <si>
    <t>棟別情報24</t>
  </si>
  <si>
    <t>棟別情報25</t>
  </si>
  <si>
    <t>棟別情報26</t>
  </si>
  <si>
    <t>棟別情報27</t>
  </si>
  <si>
    <t>棟別情報28</t>
  </si>
  <si>
    <t>棟別情報29</t>
  </si>
  <si>
    <t>**shinsei_KENSA_NG_CAUSE</t>
  </si>
  <si>
    <t>データ</t>
  </si>
  <si>
    <t>Customデータ</t>
  </si>
  <si>
    <t>cst_config_PRESENTER_ADDRESS</t>
  </si>
  <si>
    <t>txt</t>
  </si>
  <si>
    <t>txt</t>
  </si>
  <si>
    <t>txt</t>
  </si>
  <si>
    <t>建築物_錯誤証明書</t>
  </si>
  <si>
    <t>建築物_錯誤証明書</t>
  </si>
  <si>
    <t>兵庫県神戸市兵庫区</t>
  </si>
  <si>
    <t>兵庫県神戸市北区</t>
  </si>
  <si>
    <t>**shinsei_hosei1_STRUCTTUIKA_NOTIFT_DATE</t>
  </si>
  <si>
    <t>**shinsei_hosei1_STRUCTNOTIFT_HENKOU_NOTIFT_DATE</t>
  </si>
  <si>
    <t>**shinsei_hosei1_STRUCTTUIKA_DOCNO</t>
  </si>
  <si>
    <t>**shinsei_hosei1_STRUCTNOTIFT_HENKOU_LIMIT_DATE</t>
  </si>
  <si>
    <t>**shinsei_hosei1_BIKO</t>
  </si>
  <si>
    <t>● 回数2</t>
  </si>
  <si>
    <t>**shinsei_hosei2_NOTIFY_DATE</t>
  </si>
  <si>
    <t>**shinsei_hosei2_NOTIFY_DOCNO</t>
  </si>
  <si>
    <t>**shinsei_hosei2_KENSAIN_USER_ID</t>
  </si>
  <si>
    <t>**shinsei_hosei2_LIMIT_DATE</t>
  </si>
  <si>
    <t>**shinsei_hosei2_ANSWER_DATE</t>
  </si>
  <si>
    <t>**shinsei_hosei2_NOTIFY_NOTE</t>
  </si>
  <si>
    <t>**shinsei_hosei2_NOTIFY_SOUFU_SAKI</t>
  </si>
  <si>
    <t>**shinsei_hosei2_STRUCTNOTIFT_USE</t>
  </si>
  <si>
    <t>**shinsei_hosei2_STRUCTNOTIFT_NOTIFT_DATE</t>
  </si>
  <si>
    <t>**shinsei_hosei2_STRUCTNOTIFT_NOTIFT_NO</t>
  </si>
  <si>
    <t>**shinsei_hosei2_STRUCTNOTIFT_TOUTYAKU_MEMO</t>
  </si>
  <si>
    <t>**shinsei_hosei2_STRUCTNOTIFT_BIKO</t>
  </si>
  <si>
    <t>**shinsei_hosei2_STRUCTNOTIFT_TUIKA_DATE</t>
  </si>
  <si>
    <t>**shinsei_hosei2_STRUCTNOTIFT_DOCNO</t>
  </si>
  <si>
    <t>**shinsei_hosei2_STRUCTTUIKA_NOTIFT_DATE</t>
  </si>
  <si>
    <t>変更通知日（提出日(GBRC)）</t>
  </si>
  <si>
    <t>**shinsei_hosei2_STRUCTNOTIFT_HENKOU_NOTIFT_DATE</t>
  </si>
  <si>
    <t>**shinsei_hosei2_STRUCTTUIKA_DOCNO</t>
  </si>
  <si>
    <t>**shinsei_hosei2_STRUCTNOTIFT_HENKOU_LIMIT_DATE</t>
  </si>
  <si>
    <t>**shinsei_hosei2_BIKO</t>
  </si>
  <si>
    <t>● 回数3</t>
  </si>
  <si>
    <t>**shinsei_hosei3_NOTIFY_DATE</t>
  </si>
  <si>
    <t>**shinsei_hosei3_NOTIFY_DOCNO</t>
  </si>
  <si>
    <t>**shinsei_hosei3_KENSAIN_USER_ID</t>
  </si>
  <si>
    <t>**shinsei_hosei3_LIMIT_DATE</t>
  </si>
  <si>
    <t>**shinsei_hosei3_ANSWER_DATE</t>
  </si>
  <si>
    <t>**shinsei_hosei3_NOTIFY_NOTE</t>
  </si>
  <si>
    <t>**shinsei_hosei3_NOTIFY_SOUFU_SAKI</t>
  </si>
  <si>
    <t>**shinsei_hosei3_STRUCTNOTIFT_USE</t>
  </si>
  <si>
    <t>　</t>
  </si>
  <si>
    <t>建築物_訂正依頼FAX送付</t>
  </si>
  <si>
    <t>建築物_訂正依頼FAX送付（計画変更含む）</t>
  </si>
  <si>
    <t>建築物_中間_証明書</t>
  </si>
  <si>
    <t>建築物_完了_証明書</t>
  </si>
  <si>
    <t>昇降機__証明書</t>
  </si>
  <si>
    <t>工作物__証明書</t>
  </si>
  <si>
    <t>株式会社建築構造センター</t>
  </si>
  <si>
    <t>株式会社国際確認検査センター</t>
  </si>
  <si>
    <t>株式会社グット・アイズ建築検査機構</t>
  </si>
  <si>
    <t>株式会社東京建築検査機構</t>
  </si>
  <si>
    <t>アウェイ建築評価ネット株式会社</t>
  </si>
  <si>
    <t>株式会社神奈川建築確認検査機関</t>
  </si>
  <si>
    <t>dDATA_item_list</t>
  </si>
  <si>
    <t>確帳票リンクセル名一覧</t>
  </si>
  <si>
    <t>DATA_fee_detail</t>
  </si>
  <si>
    <t>システム：手数料</t>
  </si>
  <si>
    <t>◇ 手数料1 - 手数料詳細設定 - 手数料設定</t>
  </si>
  <si>
    <t>◇ 手数料1</t>
  </si>
  <si>
    <t>■ 受付 - 手数料1</t>
  </si>
  <si>
    <t>■ 手数料詳細 - 共通処理（手数料詳細設定内の請求書・領収書のみ有効なセル名）</t>
  </si>
  <si>
    <t>■ 請求書明細作成処理</t>
  </si>
  <si>
    <t>HLPA</t>
  </si>
  <si>
    <t>内訳A項目名：</t>
  </si>
  <si>
    <t>（確認・中間（＊回目）・完了）</t>
  </si>
  <si>
    <t>cst_shinsei_INSPECTION_NO</t>
  </si>
  <si>
    <t>cst_fee_UCHIWAKE__lbl</t>
  </si>
  <si>
    <t>内訳B項目名：</t>
  </si>
  <si>
    <t>cst_fee_UCHIWAKE2__lbl</t>
  </si>
  <si>
    <t>cst_shinsei_build_STAT_SEPTICTANK_KIBO</t>
  </si>
  <si>
    <t>保健所通知</t>
  </si>
  <si>
    <t>cst_shinsei_HEALTH_NOTIFY_DATE</t>
  </si>
  <si>
    <t>cst_CORP_INFO__list_box_ctrl__JoukasouTuuchi</t>
  </si>
  <si>
    <t>cst_shinsei_ev_KOUSAKU_TAKASA__range1</t>
  </si>
  <si>
    <t>cst_shinsei_ev_KOUSAKU_TAKASA__range2</t>
  </si>
  <si>
    <t>cst_shinsei_ev_KOUSAKU_TAKASA__range_sign</t>
  </si>
  <si>
    <t>cst_shinsei_intermediate_CYU1_NITTEI__disp</t>
  </si>
  <si>
    <t>該当工区</t>
  </si>
  <si>
    <t>cst_shinsei_INTER_KOUKU</t>
  </si>
  <si>
    <t>cst_shinsei_DAIRI_POST_CODE</t>
  </si>
  <si>
    <t>郵便番号</t>
  </si>
  <si>
    <t>cst_shinsei_build_YOUTO_PRINT</t>
  </si>
  <si>
    <t>印刷用</t>
  </si>
  <si>
    <t>株式会社 グッド・アイズ建築検査機構</t>
  </si>
  <si>
    <t>戸建住宅用.</t>
  </si>
  <si>
    <t>建築物　引受時のみ</t>
  </si>
  <si>
    <t>処理経過票　昇降機　or　工作物切替</t>
  </si>
  <si>
    <t>cst_TARGET_KIND_Keika</t>
  </si>
  <si>
    <t>昇降機_処理経過票</t>
  </si>
  <si>
    <t>工作物_処理経過票</t>
  </si>
  <si>
    <t>に対して審査請求をすることができます（なお、この通知を受けた日の翌日から起算して60日以内であつても、処分の日から１年を経過すると審査請求をすることができなくなります。）。また、当該審査請求に対する裁決の送達を受けた日の翌日から起算して６か月以内に</t>
  </si>
  <si>
    <t>を被告として（訴訟において</t>
  </si>
  <si>
    <t>を代表する者は</t>
  </si>
  <si>
    <t>となります。）、処分の取消しの訴えを提起することができます（なお、裁決の送達を受けた日の翌日から起算して６か月以内であつても、裁決の日から１年を経過すると処分の取消しの訴えを提起することができなくなります。）。</t>
  </si>
  <si>
    <t xml:space="preserve">
ただし、当該処分の取消しの訴えは、当該裁決を経た後でなければ、提起することができません（①審査請求があつた日から３か月を経過しても裁決がないとき②処分、処分の執行又は手続の続行により生ずる著しい損害を避けるため緊急の必要があるとき③その他裁決を経ないことにつき正当な理由があるときを除きます。）。</t>
  </si>
  <si>
    <t>共通項目（リンク用）</t>
  </si>
  <si>
    <t>■ 建築基準法令による処分の概要書（第四面）</t>
  </si>
  <si>
    <t>cst_shinsei_strtuikaimposs6_STRUCTTUIKA_NOTIFT_DATE</t>
  </si>
  <si>
    <t>cst_shinsei_impossx_NOTIFY_DATE</t>
  </si>
  <si>
    <t>cst_shinsei_impossx_NOTIFY_USER</t>
  </si>
  <si>
    <t>IF(cst_shinsei_INSPECTION_TYPE="計画変更","（計画変更)","")</t>
  </si>
  <si>
    <t>IF(shinsei_TARGET_KIND="建築物","■建築物","□建築物")</t>
  </si>
  <si>
    <t>IF(AND(shinsei_TARGET_KIND="昇降機",cst_shinsei_EV_TYPE&lt;&gt;"昇降機以外の設備"),"■建築設備(昇降機）","□建築設備（昇降機）")</t>
  </si>
  <si>
    <t>IF(AND(shinsei_TARGET_KIND="昇降機",cst_shinsei_EV_TYPE="昇降機以外の設備"),"■建築設備（昇降機以外）","□建築設備（昇降機以外）")</t>
  </si>
  <si>
    <t>IF(AND(shinsei_TARGET_KIND="工作物",cst_shinsei_WORK_88=1),"■工作物(法第88条第1項)","□工作物(法第88条第1項)")</t>
  </si>
  <si>
    <t>IF(AND(shinsei_TARGET_KIND="工作物",cst_shinsei_WORK_88=2),"■工作物(法第88条第2項)","□工作物(法第88条第2項)")</t>
  </si>
  <si>
    <t>cst_shinsei_build_address</t>
  </si>
  <si>
    <t>cst_shinsei_CHARGE_ID__RECEIPT_PRICE</t>
  </si>
  <si>
    <t>cst_shinsei_CHARGE_ID__RECEIPT_PRICE__disp</t>
  </si>
  <si>
    <t>"　　　　　"&amp;cst_PRESENTER_DAIHYOSYA__Hikiuke</t>
  </si>
  <si>
    <t>cst_shinsei_HIKIUKE_TANTO</t>
  </si>
  <si>
    <t>cst_shinsei_KAKUNINZUMI_HOUKOKU_GYOSEI_DATE</t>
  </si>
  <si>
    <t>"  "&amp;cst_shinsei_HIKIUKE_DATE__text&amp;"　"&amp;cst_shinsei_UKETUKE_NO__disp&amp;"　で建築基準法第６条の２第１項"</t>
  </si>
  <si>
    <t>cst_shinsei__NOTIFY_DATE__disp</t>
  </si>
  <si>
    <t>cst_PRESENTER_CORP__KoufuFuka</t>
  </si>
  <si>
    <t>cst_PRESENTER_DAIHYOSYA__KoufuFuka</t>
  </si>
  <si>
    <t>cst_Ng_Notify_Common_Sentence</t>
  </si>
  <si>
    <t>cst_shinsei__NOTIFY_CAUSE</t>
  </si>
  <si>
    <t>cst_shinsei__NOTIFY_LIMIT_DATE__add_kigentuki</t>
  </si>
  <si>
    <t>IF(cst_shinsei__NOTIFY_NOTE="",cst_shinsei_BILL_NAME__common,cst_shinsei__NOTIFY_NOTE)</t>
  </si>
  <si>
    <t>cst_shinsei_ISSUE_NO__disp</t>
  </si>
  <si>
    <t>cst_shinsei_ISSUE_DATE__disp</t>
  </si>
  <si>
    <t>cst_PRESENTER_CORP__Issue</t>
  </si>
  <si>
    <t>"　　　　　"&amp;cst_PRESENTER_DAIHYOSYA__Issue</t>
  </si>
  <si>
    <t>cst_shinsei_BILL_NAME__common</t>
  </si>
  <si>
    <t>cst_shinsei_build_YOUTO</t>
  </si>
  <si>
    <t>cst_shinsei_kouji</t>
  </si>
  <si>
    <t>cst_shinsei_build_kouzou</t>
  </si>
  <si>
    <t>cst_shinsei_build_KAISU_TIJYOU_SHINSEI</t>
  </si>
  <si>
    <t>cst_shinsei_build_SHIKITI_MENSEKI_1_TOTAL</t>
  </si>
  <si>
    <t>**shinsei_NG2_NOTIFY_ID__NOTIFY_CAUSE</t>
  </si>
  <si>
    <t>**shinsei_NG2_NOTIFY_ID__NOTIFY_NOTE</t>
  </si>
  <si>
    <t>● 期限付3（交付できない旨の通知書）</t>
  </si>
  <si>
    <t>**shinsei_NG3_NOTIFY_ID__NOTIFY_DATE</t>
  </si>
  <si>
    <t>**shinsei_NG3_NOTIFY_ID__KENSAIN_USER_ID</t>
  </si>
  <si>
    <t>**shinsei_NG3_NOTIFY_ID__KENSA_DATE</t>
  </si>
  <si>
    <t>**shinsei_NG3_NOTIFY_ID__LIMIT_DATE</t>
  </si>
  <si>
    <t>**shinsei_NG3_NOTIFY_ID__NOTIFY_CAUSE</t>
  </si>
  <si>
    <t>**shinsei_NG3_NOTIFY_ID__NOTIFY_NOTE</t>
  </si>
  <si>
    <t>報告日　日付</t>
  </si>
  <si>
    <t>cst_shinsei_build_NOBE_MENSEKI_BILL_SHINSEI_TOTAL</t>
  </si>
  <si>
    <t>cst_shinsei_build_BILL_SHINSEI_COUNT</t>
  </si>
  <si>
    <t>cst_shinsei__NOTIFY_USER</t>
  </si>
  <si>
    <t>IF(shinsei_INSPECTION_TYPE="計画変更","７．前確認済証番号","")</t>
  </si>
  <si>
    <t>IF(shinsei_INSPECTION_TYPE="計画変更",cst_p2_shinsei_ISSUE_NO,"")</t>
  </si>
  <si>
    <t>構造判定にかかる手数料（合計）</t>
  </si>
  <si>
    <t>**shinsei_ISSUE_NO</t>
  </si>
  <si>
    <t>第 ***** 号</t>
  </si>
  <si>
    <t>交付者（会社）</t>
  </si>
  <si>
    <t>**shinsei_ISSUE_KOUFU_NAME</t>
  </si>
  <si>
    <t>txt</t>
  </si>
  <si>
    <t>cst_city_town</t>
  </si>
  <si>
    <t>date</t>
  </si>
  <si>
    <t>cst_shinsei_ev_EV_BILL_YOUTO</t>
  </si>
  <si>
    <t>cst_shinsei_ev_EV_SYUBETU</t>
  </si>
  <si>
    <t>cst_shinsei_ev_EV_YOUTO</t>
  </si>
  <si>
    <t>cst_shinsei_ev_EV_SEKISAI</t>
  </si>
  <si>
    <t>cst_shinsei_ev_EV_TEIIN</t>
  </si>
  <si>
    <t>cst_shinsei_ev_EV_SPEED</t>
  </si>
  <si>
    <t>cst_shinsei_SEKOU_ADDRESS</t>
  </si>
  <si>
    <t>予定　本部:11、柏:21、千葉:22、船橋:23、大宮:31、越谷:32、川越:33、墨田:42、国分寺:43</t>
  </si>
  <si>
    <t>ログイン</t>
  </si>
  <si>
    <t>ＩＤ</t>
  </si>
  <si>
    <t>cst_Command_Practice</t>
  </si>
  <si>
    <t>cst_shinsei_TARGET_KIND</t>
  </si>
  <si>
    <t>cst_shinsei_INSPECTION_TYPE</t>
  </si>
  <si>
    <t>cst_shinsei_INSPECTION_TYPE_class4</t>
  </si>
  <si>
    <t>cst__button_kind</t>
  </si>
  <si>
    <t>押下ボタン情報２</t>
  </si>
  <si>
    <t>（1～8の数値をセット）</t>
  </si>
  <si>
    <t>期限付の回数</t>
  </si>
  <si>
    <t>cst__button_no</t>
  </si>
  <si>
    <t>（IMPOSSでは1～6、NGでは1～3をセット）</t>
  </si>
  <si>
    <t>都道府県</t>
  </si>
  <si>
    <t>市区町村</t>
  </si>
  <si>
    <t>cst_city_ken</t>
  </si>
  <si>
    <t>txt</t>
  </si>
  <si>
    <t>cst_city_city</t>
  </si>
  <si>
    <t>**prule_cityflag_douro_syoukai</t>
  </si>
  <si>
    <t>**prule_cityflag_tyousa_houkoku</t>
  </si>
  <si>
    <t>**prule_cityflag_gaiyou_p4</t>
  </si>
  <si>
    <t>**prule_strkoufusya_日本建築</t>
  </si>
  <si>
    <t>**prule_strkoufusya_昇降機センタ</t>
  </si>
  <si>
    <t>**prule_strkoufusya_ベターリビング</t>
  </si>
  <si>
    <t>**prule_strkoufusya_建築まちづくり</t>
  </si>
  <si>
    <t>**prule_strkoufusya_千葉県建設技術</t>
  </si>
  <si>
    <t>**prule_strkoufusya_茨城県建築</t>
  </si>
  <si>
    <t>**prule_strkoufusya_静岡県建築技術安心支援</t>
  </si>
  <si>
    <t>**prule_strkoufusya_ハウスプラス</t>
  </si>
  <si>
    <t>**prule_strkoufusya_都市居住評価</t>
  </si>
  <si>
    <t>**prule_strkoufusya_ビューロ</t>
  </si>
  <si>
    <t>**prule_strkoufusya_建築構造</t>
  </si>
  <si>
    <t>**prule_strkoufusya_国際確認検査</t>
  </si>
  <si>
    <t>**prule_strkoufusya_グット</t>
  </si>
  <si>
    <t>**prule_strkoufusya_建築評価ネット</t>
  </si>
  <si>
    <t>**prule_strkoufusya_愛知県建築住宅</t>
  </si>
  <si>
    <t>**prule_strkoufusya_木材技術</t>
  </si>
  <si>
    <t>**prule_strkoufusya_三重県建設技術</t>
  </si>
  <si>
    <t>**prule_strkoufusya_防災センタ</t>
  </si>
  <si>
    <t>**prule_strkoufusya_兵庫県住宅建築総合</t>
  </si>
  <si>
    <t>**prule_btn_strtuikaimposs</t>
  </si>
  <si>
    <t>建築主３</t>
  </si>
  <si>
    <t>**shinsei_owner3_CORP</t>
  </si>
  <si>
    <t>**shinsei_owner3_NAME_KANA</t>
  </si>
  <si>
    <t>**shinsei_owner3_POST</t>
  </si>
  <si>
    <t>**shinsei_owner3_NAME</t>
  </si>
  <si>
    <t>**shinsei_owner3_POST_CODE</t>
  </si>
  <si>
    <t>**shinsei_owner3__address</t>
  </si>
  <si>
    <t>**shinsei_owner3_TEL</t>
  </si>
  <si>
    <t>建築主４</t>
  </si>
  <si>
    <t>**shinsei_owner4_CORP</t>
  </si>
  <si>
    <t>**shinsei_owner4_NAME_KANA</t>
  </si>
  <si>
    <t>**shinsei_owner4_POST</t>
  </si>
  <si>
    <t>**shinsei_owner4_NAME</t>
  </si>
  <si>
    <t>**shinsei_owner4_POST_CODE</t>
  </si>
  <si>
    <t>**shinsei_owner4__address</t>
  </si>
  <si>
    <t>**shinsei_owner4_TEL</t>
  </si>
  <si>
    <t>建築主５</t>
  </si>
  <si>
    <t>**shinsei_owner5_CORP</t>
  </si>
  <si>
    <t>**shinsei_owner5_NAME_KANA</t>
  </si>
  <si>
    <t>**shinsei_owner5_POST</t>
  </si>
  <si>
    <t>**shinsei_owner5_NAME</t>
  </si>
  <si>
    <t>**shinsei_owner5_POST_CODE</t>
  </si>
  <si>
    <t>**shinsei_owner5__address</t>
  </si>
  <si>
    <t>**shinsei_owner5_TEL</t>
  </si>
  <si>
    <t>建築主６</t>
  </si>
  <si>
    <t>**shinsei_owner6_CORP</t>
  </si>
  <si>
    <t>**shinsei_owner6_NAME_KANA</t>
  </si>
  <si>
    <t>**shinsei_owner6_POST</t>
  </si>
  <si>
    <t>**shinsei_owner6_NAME</t>
  </si>
  <si>
    <t>**shinsei_owner6_POST_CODE</t>
  </si>
  <si>
    <t>**shinsei_owner6__address</t>
  </si>
  <si>
    <t>**shinsei_owner6_TEL</t>
  </si>
  <si>
    <t>事前相談日</t>
  </si>
  <si>
    <t>仮受付希望日</t>
  </si>
  <si>
    <t>仮受付日</t>
  </si>
  <si>
    <t>構造審査終了日</t>
  </si>
  <si>
    <t>意匠審査終了日</t>
  </si>
  <si>
    <t>引受見込日</t>
  </si>
  <si>
    <t>引受日</t>
  </si>
  <si>
    <t>済証希望日</t>
  </si>
  <si>
    <t>別機関へ</t>
  </si>
  <si>
    <t>意匠コメント</t>
  </si>
  <si>
    <t>構造コメント</t>
  </si>
  <si>
    <t>cst_shinsei_CHARGE_ID__meisai06_ITEM_NAME</t>
  </si>
  <si>
    <t>適判割増手数料（合計）</t>
  </si>
  <si>
    <t>内訳B手数料：（遠方, その他, 適判割増）</t>
  </si>
  <si>
    <t>cst_fee_UCHIWAKE2__fee</t>
  </si>
  <si>
    <t>cst_charge_RECEIPT_TO__disp</t>
  </si>
  <si>
    <t>但し書き</t>
  </si>
  <si>
    <t>cst_shinsei_CHARGE_ID__meisai08_ITEM_NAME</t>
  </si>
  <si>
    <t>明細9</t>
  </si>
  <si>
    <t>cst_shinsei_CHARGE_ID__meisai09_ITEM_NAME</t>
  </si>
  <si>
    <t>明細10</t>
  </si>
  <si>
    <t>cst_shinsei_CHARGE_ID__meisai10_ITEM_NAME</t>
  </si>
  <si>
    <t>明細11</t>
  </si>
  <si>
    <t>建築物の条件</t>
  </si>
  <si>
    <t>上表にかかる乗率</t>
  </si>
  <si>
    <t>階数３以上の特殊建築物</t>
  </si>
  <si>
    <t>１０％増</t>
  </si>
  <si>
    <t>高さ　３１ｍを超えるもの</t>
  </si>
  <si>
    <t>２５％増</t>
  </si>
  <si>
    <t>2,000～10,000㎡で平家建のもの</t>
  </si>
  <si>
    <t>２０％減</t>
  </si>
  <si>
    <t>　　　　　　４号もの</t>
  </si>
  <si>
    <t>　　　　　　４号もの以外のもの</t>
  </si>
  <si>
    <t>500㎡以下</t>
  </si>
  <si>
    <t>500㎡超2,000㎡以下</t>
  </si>
  <si>
    <t>2,000㎡超</t>
  </si>
  <si>
    <t>　　別途協議</t>
  </si>
  <si>
    <t>　（　　　　　　　　　円）＋（　　　　　　　　　円）＝　　　　　　　　　　円・・・⑤</t>
  </si>
  <si>
    <t>　（　　　　　　　　　円）＋（　　　　　　　　　円）＝　　　　　　　　　　円・・・⑦</t>
  </si>
  <si>
    <t>　　　　　ＦＤ　有り</t>
  </si>
  <si>
    <t xml:space="preserve">     　　　　 ２,０００円減</t>
  </si>
  <si>
    <t>　　　　　ＦＤ　無し</t>
  </si>
  <si>
    <t>面積　㎡</t>
  </si>
  <si>
    <t>合　計</t>
  </si>
  <si>
    <t>小　計</t>
  </si>
  <si>
    <t>確認申請＆適合判定手数料合計</t>
  </si>
  <si>
    <r>
      <t>（　　　　　　　円）＋</t>
    </r>
    <r>
      <rPr>
        <b/>
        <sz val="12"/>
        <rFont val="ＭＳ 明朝"/>
        <family val="1"/>
      </rPr>
      <t>{</t>
    </r>
    <r>
      <rPr>
        <sz val="11"/>
        <rFont val="ＭＳ 明朝"/>
        <family val="1"/>
      </rPr>
      <t>(　　　　　　　円）×[  　　　　％]</t>
    </r>
    <r>
      <rPr>
        <b/>
        <sz val="12"/>
        <rFont val="ＭＳ 明朝"/>
        <family val="1"/>
      </rPr>
      <t>}</t>
    </r>
    <r>
      <rPr>
        <sz val="11"/>
        <rFont val="ＭＳ 明朝"/>
        <family val="1"/>
      </rPr>
      <t>＝　　　　　　円・・・③</t>
    </r>
  </si>
  <si>
    <t>手数料</t>
  </si>
  <si>
    <t>確認手数料計算書</t>
  </si>
  <si>
    <t>建築物_証明書</t>
  </si>
  <si>
    <t>建築物_証明書</t>
  </si>
  <si>
    <t>**prule_ken_41</t>
  </si>
  <si>
    <t>**prule_ken_42</t>
  </si>
  <si>
    <t>**prule_ken_43</t>
  </si>
  <si>
    <t>**prule_ken_44</t>
  </si>
  <si>
    <t>**prule_ken_45</t>
  </si>
  <si>
    <t>**prule_ken_46</t>
  </si>
  <si>
    <t>**prule_ken_47</t>
  </si>
  <si>
    <t>通常使うプリンタ（クライアントにインストールするプリンタ名を記載）</t>
  </si>
  <si>
    <t>システム：起動用シート</t>
  </si>
  <si>
    <t>起動時のアクティブシート</t>
  </si>
  <si>
    <t>システム：データシート（基本）</t>
  </si>
  <si>
    <t>帳票出力用データ</t>
  </si>
  <si>
    <t>システム：交付不可文言出力専用シート</t>
  </si>
  <si>
    <t>審査会の名称を文章に記載する関数があるシート</t>
  </si>
  <si>
    <t>システム：帳票発行者履歴管理シート</t>
  </si>
  <si>
    <t>会社名、代表者名変更時の帳票発行者決定シート</t>
  </si>
  <si>
    <t>システム：帳票出力制御シート</t>
  </si>
  <si>
    <t>シート名と帳票の対応表シート
押下ボタン、及び条件による帳票の出力を制御
押下ボタンはＯＲ、条件はＡＮＤになっている為、
複数の条件がある場合は同じシート名の行を作る必要がある。</t>
  </si>
  <si>
    <t>構造担当者</t>
  </si>
  <si>
    <t>適合証明</t>
  </si>
  <si>
    <t>1：有, 0：無</t>
  </si>
  <si>
    <t>有無</t>
  </si>
  <si>
    <t>有, 無</t>
  </si>
  <si>
    <t>瑕疵保険</t>
  </si>
  <si>
    <t>性能評価</t>
  </si>
  <si>
    <t>cst_PRESENTER_ADDRESS2__HikiukeTuuchi</t>
  </si>
  <si>
    <t>cst_shinsei_imposs2_NOTIFY_NOTE</t>
  </si>
  <si>
    <t>cst_shinsei_imposs2_REPORT_DATE</t>
  </si>
  <si>
    <t>cst_shinsei_strtuikaimposs2_STRUCT_NOTIFT_DATE</t>
  </si>
  <si>
    <t>cst_shinsei_strtuikaimposs2_STRUCT_NOTIFT_NO</t>
  </si>
  <si>
    <t>cst_shinsei_strtuikaimposs2_STRUCT_TUIKA_DATE</t>
  </si>
  <si>
    <t>cst_shinsei_strtuikaimposs2_STRUCTTUIKA_NOTIFT_DATE</t>
  </si>
  <si>
    <t>cst_shinsei_imposs3_NOTIFY_DATE</t>
  </si>
  <si>
    <t>cst_shinsei_imposs3_NOTIFY_USER</t>
  </si>
  <si>
    <t>cst_shinsei_imposs3_NOTIFY_LIMIT_DATE</t>
  </si>
  <si>
    <t>cst_shinsei_imposs3_NOTIFY_CAUSE</t>
  </si>
  <si>
    <t>cst_shinsei_imposs3_NOTIFY_NOTE</t>
  </si>
  <si>
    <t>cst_shinsei_imposs3_REPORT_DATE</t>
  </si>
  <si>
    <t>cst_shinsei_strtuikaimposs3_STRUCT_NOTIFT_DATE</t>
  </si>
  <si>
    <t>cst_shinsei_strtuikaimposs3_STRUCT_NOTIFT_NO</t>
  </si>
  <si>
    <t>cst_shinsei_strtuikaimposs3_STRUCT_TUIKA_DATE</t>
  </si>
  <si>
    <t>cst_shinsei_strtuikaimposs3_STRUCTTUIKA_NOTIFT_DATE</t>
  </si>
  <si>
    <t>cst_shinsei_imposs4_NOTIFY_DATE</t>
  </si>
  <si>
    <t>cst_shinsei_imposs4_NOTIFY_USER</t>
  </si>
  <si>
    <t>■ 概要（工作物）</t>
  </si>
  <si>
    <t>法８８条区分</t>
  </si>
  <si>
    <t>cst_shinsei_ev_EV_BILL_NAME</t>
  </si>
  <si>
    <t>cst_shinsei_ev_EV_BILL_NAME</t>
  </si>
  <si>
    <t>建築物・工作物</t>
  </si>
  <si>
    <t>昇降機</t>
  </si>
  <si>
    <t>建築物・工作物・昇降機（共通）：</t>
  </si>
  <si>
    <t>工事種別（共通）</t>
  </si>
  <si>
    <t>地下（申請に係る建築物）</t>
  </si>
  <si>
    <t>建築物全体（申請以外の部分）</t>
  </si>
  <si>
    <t>検査を行った確認検査員氏名</t>
  </si>
  <si>
    <t>cst_shinsei__NOTIFY_USER</t>
  </si>
  <si>
    <t>cst_shinsei__REPORT_STRUCTRESULT_NOTIFY_DATE</t>
  </si>
  <si>
    <t>通知書番号</t>
  </si>
  <si>
    <t>cst_shinsei__REPORT_STRUCTRESULT_NOTIFY_NO</t>
  </si>
  <si>
    <t>通知書交付者</t>
  </si>
  <si>
    <t>cst_kakaru_shinsei_HIKIUKE_DATE__mm</t>
  </si>
  <si>
    <t>係る確認の引受日 - 日</t>
  </si>
  <si>
    <t>cst_kakaru_shinsei_HIKIUKE_DATE__dd</t>
  </si>
  <si>
    <t>引受日</t>
  </si>
  <si>
    <t>行政経由日</t>
  </si>
  <si>
    <t>昇降機（種類）</t>
  </si>
  <si>
    <t>受付支店  (MST_OFFICE ID)</t>
  </si>
  <si>
    <t xml:space="preserve"> 建築場所  (都道府県CODE：)</t>
  </si>
  <si>
    <t>№</t>
  </si>
  <si>
    <t>岐阜県</t>
  </si>
  <si>
    <t>cst_shinsei_ev_KOUSAKU_SYURUI_CODE</t>
  </si>
  <si>
    <t>cst_shinsei_ev_KOUSAKU_SYURUI</t>
  </si>
  <si>
    <t>cst_shinsei_ev_KOUSAKU_TAKASA</t>
  </si>
  <si>
    <t>cst_shinsei__REPORT_STRUCTRESULT_NOTIFY_NO__search</t>
  </si>
  <si>
    <t>構造判定受付番号</t>
  </si>
  <si>
    <t>cst_shinsei_STRIRAI_TEKIHAN_ACCEPT_NO</t>
  </si>
  <si>
    <t>確認済証交付者</t>
  </si>
  <si>
    <t>cst_PRESENTER_CORP__Houkoku</t>
  </si>
  <si>
    <t>cst_PRESENTER_DAIHYOSYA__Houkoku</t>
  </si>
  <si>
    <t>cst_PRESENTER_ADDRESS__Houkoku</t>
  </si>
  <si>
    <t>cst_PRESENTER_ADDRESS2__Houkoku</t>
  </si>
  <si>
    <t>※下記、文章が通知書に反映されます。</t>
  </si>
  <si>
    <t>適合するかどうかを決定することができない旨の通知書</t>
  </si>
  <si>
    <t>　下記による確認申請書は、下記の理由により建築基準法第６条第１項（同法第６条の３第１項の規定により読み替えて適用される同法第６条第１項）の建築基準関係規定に適合するかどうかを決定することができないので、同法第６条の２第９項（同法第87条第１項、第87条の２又は第88条第１項若しくは第２項において準用する場合を含む。）の規定により通知します。</t>
  </si>
  <si>
    <t>適合しない旨の通知書</t>
  </si>
  <si>
    <t>　別添の確認申請書及び添付図書に記載の計画は、下記の理由により建築基準法第６条第１項（
同法第６条の３第１項の規定により読み替えて適用される同法第６条第１項）の建築基準関係規定に適合しないことを認めましたので、同条第９項（同法第87条第１項、第87条の２又は第88条第１項若しくは第２項において準用する場合を含む。）の規定により通知します。</t>
  </si>
  <si>
    <t>中間検査合格証を交付できない旨の通知書</t>
  </si>
  <si>
    <t>　下記による特定工程に係る工事は、建築基準法第７条の４第１項（同法第87条の２又は第88条第１項において準用する場合を含む。）の規定による検査の結果、下記の理由により同法第７条の４第３項に規定する中間検査合格証を交付できないので、通知します。</t>
  </si>
  <si>
    <t>検査済証を交付できない旨の通知書</t>
  </si>
  <si>
    <t>　下記に係る工事は、建築基準法第７条の２第１項（同法第87条の２又は第88条第１項若しくは第２項において準用する場合を含む。）の規定による検査の結果、下記の理由により同法第７条の２第５項に規定する検査済証を交付できないので、通知します。</t>
  </si>
  <si>
    <t>共通項目</t>
  </si>
  <si>
    <t>　なお、この処分に不服があるときは、この通知を受けた日の翌日から起算して60日以内に</t>
  </si>
  <si>
    <t>○ 奈良県の条件の考慮</t>
  </si>
  <si>
    <t>shinsei_REPORT_DEST_GYOUSEI_KIND__case1</t>
  </si>
  <si>
    <t>該当時：4</t>
  </si>
  <si>
    <t>cst_PRESENTER_DAIHYOSYA__charge_income_INCOME_DATE</t>
  </si>
  <si>
    <t>cst_PRESENTER_ADDRESS__charge_income_INCOME_DATE</t>
  </si>
  <si>
    <t>cst_PRESENTER_ADDRESS2__charge_income_INCOME_DATE</t>
  </si>
  <si>
    <t>構造判定部長  佐野　和彦</t>
  </si>
  <si>
    <t>代表取締役社長 吉川　充</t>
  </si>
  <si>
    <t>代表取締役社長 吉川　充</t>
  </si>
  <si>
    <t>住所１と住所２を連結させて表示。</t>
  </si>
  <si>
    <t>cst_office_ADDRESS__1_2</t>
  </si>
  <si>
    <t>電話番号</t>
  </si>
  <si>
    <t>cst_office_TEL</t>
  </si>
  <si>
    <t>Tel : office_TEL</t>
  </si>
  <si>
    <t>ＦＡＸ番号</t>
  </si>
  <si>
    <t>cst_office_FAX</t>
  </si>
  <si>
    <t>Fax : office_FAX</t>
  </si>
  <si>
    <t>【 社員情報 】</t>
  </si>
  <si>
    <t>小規模用</t>
  </si>
  <si>
    <t>社内担当者（事前）</t>
  </si>
  <si>
    <t>社内担当者（引受）</t>
  </si>
  <si>
    <t>**shinsei_HIKIUKE_TANTO</t>
  </si>
  <si>
    <t>社内構造一次担当者</t>
  </si>
  <si>
    <t>担当者チェックによる訂正事項</t>
  </si>
  <si>
    <t>法令調査願い</t>
  </si>
  <si>
    <t>法令調査票</t>
  </si>
  <si>
    <t>道路・敷地照会
消防 送付書</t>
  </si>
  <si>
    <t>調査表兼報告書
消防同意神戸市</t>
  </si>
  <si>
    <t>概要書(四面）</t>
  </si>
  <si>
    <t>「検査履歴」
検査結果</t>
  </si>
  <si>
    <t>cst_shinsei_build_STAT_HOU6__firestation</t>
  </si>
  <si>
    <t>cst_shinsei_build_YOUTO_CODE</t>
  </si>
  <si>
    <t>cst_FIRE__base_point</t>
  </si>
  <si>
    <t>cst_FIRE__city_erea</t>
  </si>
  <si>
    <t>■消防署名取得処理シート：</t>
  </si>
  <si>
    <t>市区町村マスタ登録ルール：</t>
  </si>
  <si>
    <t>福澤　榮治</t>
  </si>
  <si>
    <t>fukuzawa@hlpa.or.jp</t>
  </si>
  <si>
    <t>岩田　賢蔵</t>
  </si>
  <si>
    <t>iwata@hlpa.or.jp</t>
  </si>
  <si>
    <t>飯山　滋人</t>
  </si>
  <si>
    <t>iiyama@hlpa.or.jp</t>
  </si>
  <si>
    <t>山本　嘉孝</t>
  </si>
  <si>
    <t>yamamoto@hlpa.or.jp</t>
  </si>
  <si>
    <t>cst_RENRAKUSAKI_KOUZOU_TANTOU_EMAIL</t>
  </si>
  <si>
    <t>cst_shinsei_KOUZOU_TANTO1</t>
  </si>
  <si>
    <t>cst_shinsei_REPORT_DEST_NAME__decision</t>
  </si>
  <si>
    <t>cst_shinsei_REPORT_DEST_DEPART_NAME__decision</t>
  </si>
  <si>
    <t>cst_shinsei_REPORT_DEST_FAX__decision</t>
  </si>
  <si>
    <t>割増</t>
  </si>
  <si>
    <t>手数料（小計）</t>
  </si>
  <si>
    <t>■ 手数料（請求書出力処理）</t>
  </si>
  <si>
    <t>棟別情報02</t>
  </si>
  <si>
    <t>棟別情報03</t>
  </si>
  <si>
    <t>棟別情報04</t>
  </si>
  <si>
    <t>cst_charge_strtower18_CHARGE_WARIMASHI</t>
  </si>
  <si>
    <t>cst_charge_strtower18_CHARGE_TOTAL</t>
  </si>
  <si>
    <t>cst_charge_strtower18_CHARGE__ctrl</t>
  </si>
  <si>
    <t>cst_charge_strtower19_CHARGE</t>
  </si>
  <si>
    <t>cst_charge_strtower19_CHARGE_WARIMASHI</t>
  </si>
  <si>
    <t>cst_charge_strtower19_CHARGE_TOTAL</t>
  </si>
  <si>
    <t>cst_charge_strtower19_CHARGE__ctrl</t>
  </si>
  <si>
    <t>cst_charge_strtower20_CHARGE</t>
  </si>
  <si>
    <t>cst_charge_strtower20_CHARGE_WARIMASHI</t>
  </si>
  <si>
    <t>PrintModule搭載</t>
  </si>
  <si>
    <t>検査記録票をPackShinseiへ移動</t>
  </si>
  <si>
    <t>浄化槽送達簿</t>
  </si>
  <si>
    <t>確認番号　年号抜き+記号+シリアル４ケタ表示</t>
  </si>
  <si>
    <t>cst_Receipt_No_HEALTH</t>
  </si>
  <si>
    <t>浄化槽送達簿</t>
  </si>
  <si>
    <t>浄化槽送達簿</t>
  </si>
  <si>
    <t>完了検査時</t>
  </si>
  <si>
    <t>浄化槽送達簿　確認済証番号を表記に変更</t>
  </si>
  <si>
    <t>浄化槽送達簿　右肩日付を　TODAYに変更</t>
  </si>
  <si>
    <t>中間・完了証明書　下部番号を　確認の済証番号表示へ変更</t>
  </si>
  <si>
    <t>戸建住宅用</t>
  </si>
  <si>
    <t>チェックリスト更新変更</t>
  </si>
  <si>
    <t>FAX送付書　日付を自動表示へ</t>
  </si>
  <si>
    <t>チェックリスト（一般用）　火災警報器部分に　無　を追加</t>
  </si>
  <si>
    <t>一般用シートを変更</t>
  </si>
  <si>
    <t>手数料シートレイアウト調整</t>
  </si>
  <si>
    <t>）</t>
  </si>
  <si>
    <t>4/1対応　処理経過票シート差替え（建築物）</t>
  </si>
  <si>
    <t>4/1対応　処理経過票シート差替え（工作物）</t>
  </si>
  <si>
    <t>処理経過表　印刷余白を調整</t>
  </si>
  <si>
    <t>チェックリスト修正</t>
  </si>
  <si>
    <t>一般用 修正</t>
  </si>
  <si>
    <t>戸建住宅用、一般用のチェック部分を修正</t>
  </si>
  <si>
    <t>一般用</t>
  </si>
  <si>
    <t>処理経過表　プリンタ設定　RICOH IPSiO SP 4300（青紙）</t>
  </si>
  <si>
    <t>プリンタ　デフォルト設定を追加</t>
  </si>
  <si>
    <t>RICOH IPSiO SP 4300 RPCS</t>
  </si>
  <si>
    <t>RICOH IPSiO SP 4300（青紙）</t>
  </si>
  <si>
    <t>チェックリスト　戸建て用　一般用　差替え</t>
  </si>
  <si>
    <t>　④－Ⅰ　昇降機同時申請</t>
  </si>
  <si>
    <t>　④－Ⅱ　天空率</t>
  </si>
  <si>
    <t>手数料シート差替え</t>
  </si>
  <si>
    <t>チェックリスト　戸建て用　一般用　差替え</t>
  </si>
  <si>
    <t>チェックリスト　戸建て用 印刷範囲調整</t>
  </si>
  <si>
    <r>
      <t>①</t>
    </r>
    <r>
      <rPr>
        <b/>
        <sz val="12"/>
        <rFont val="ＭＳ 明朝"/>
        <family val="1"/>
      </rPr>
      <t>基本審査手数料</t>
    </r>
  </si>
  <si>
    <r>
      <t>②</t>
    </r>
    <r>
      <rPr>
        <b/>
        <sz val="12"/>
        <rFont val="ＭＳ 明朝"/>
        <family val="1"/>
      </rPr>
      <t>増減率</t>
    </r>
  </si>
  <si>
    <r>
      <t>④</t>
    </r>
    <r>
      <rPr>
        <b/>
        <sz val="12"/>
        <rFont val="ＭＳ 明朝"/>
        <family val="1"/>
      </rPr>
      <t>特別審査料</t>
    </r>
  </si>
  <si>
    <r>
      <t>⑥</t>
    </r>
    <r>
      <rPr>
        <b/>
        <sz val="12"/>
        <rFont val="ＭＳ 明朝"/>
        <family val="1"/>
      </rPr>
      <t>確認手数料</t>
    </r>
  </si>
  <si>
    <r>
      <t>⑧</t>
    </r>
    <r>
      <rPr>
        <b/>
        <sz val="12"/>
        <rFont val="ＭＳ 明朝"/>
        <family val="1"/>
      </rPr>
      <t>ＦＤの有無</t>
    </r>
  </si>
  <si>
    <t xml:space="preserve"> ＊構造審査（ EXP.J）有・無　　＊審査棟数 １棟・２棟・３棟・　棟（○囲い）</t>
  </si>
  <si>
    <t>棟数</t>
  </si>
  <si>
    <t>100㎡</t>
  </si>
  <si>
    <t>以下</t>
  </si>
  <si>
    <t>超</t>
  </si>
  <si>
    <t>200㎡</t>
  </si>
  <si>
    <t>500㎡</t>
  </si>
  <si>
    <t>1,000㎡</t>
  </si>
  <si>
    <t xml:space="preserve"> 1,000㎡</t>
  </si>
  <si>
    <t>2,000㎡</t>
  </si>
  <si>
    <t xml:space="preserve"> 2,000㎡</t>
  </si>
  <si>
    <t>10,000㎡</t>
  </si>
  <si>
    <t xml:space="preserve">10,000㎡ </t>
  </si>
  <si>
    <t>50,000㎡</t>
  </si>
  <si>
    <t>50,000㎡を超える場合</t>
  </si>
  <si>
    <t>　　①　＋　（①　×　②）　＝　③</t>
  </si>
  <si>
    <t>　　　　　　　　　　　　</t>
  </si>
  <si>
    <t>円増</t>
  </si>
  <si>
    <t>　④－Ⅲ避難安全検証法</t>
  </si>
  <si>
    <t>　④－Ⅳ　</t>
  </si>
  <si>
    <r>
      <t>大阪</t>
    </r>
    <r>
      <rPr>
        <sz val="11"/>
        <color indexed="8"/>
        <rFont val="ＭＳ 明朝"/>
        <family val="1"/>
      </rPr>
      <t>府/兵庫県/</t>
    </r>
    <r>
      <rPr>
        <sz val="11"/>
        <rFont val="ＭＳ 明朝"/>
        <family val="1"/>
      </rPr>
      <t>福祉のまちづくり対象施設</t>
    </r>
  </si>
  <si>
    <t>　④－Ⅰ　＋　④－Ⅱ　＋　④－Ⅲ　＋　④－Ⅳ</t>
  </si>
  <si>
    <t>　③　＋　⑤　＝　⑦</t>
  </si>
  <si>
    <t>⑦</t>
  </si>
  <si>
    <t>￥.</t>
  </si>
  <si>
    <t>　　　　　　　　　　－</t>
  </si>
  <si>
    <r>
      <t>⑨</t>
    </r>
    <r>
      <rPr>
        <sz val="10"/>
        <rFont val="ＭＳ 明朝"/>
        <family val="1"/>
      </rPr>
      <t>構造</t>
    </r>
    <r>
      <rPr>
        <b/>
        <sz val="10"/>
        <rFont val="ＭＳ 明朝"/>
        <family val="1"/>
      </rPr>
      <t>適合判定審査手数料　＊防災・日総試・兵庫　　＊</t>
    </r>
    <r>
      <rPr>
        <b/>
        <sz val="9"/>
        <rFont val="ＭＳ 明朝"/>
        <family val="1"/>
      </rPr>
      <t>大臣認定プログラム</t>
    </r>
    <r>
      <rPr>
        <b/>
        <sz val="10"/>
        <rFont val="ＭＳ 明朝"/>
        <family val="1"/>
      </rPr>
      <t>　</t>
    </r>
    <r>
      <rPr>
        <b/>
        <sz val="9"/>
        <rFont val="ＭＳ 明朝"/>
        <family val="1"/>
      </rPr>
      <t>有・無</t>
    </r>
    <r>
      <rPr>
        <b/>
        <sz val="10"/>
        <color indexed="8"/>
        <rFont val="ＭＳ 明朝"/>
        <family val="1"/>
      </rPr>
      <t>（○囲い）</t>
    </r>
  </si>
  <si>
    <t>判定手数料</t>
  </si>
  <si>
    <t>⑦+⑨￥.</t>
  </si>
  <si>
    <t>一般用シート差替え</t>
  </si>
  <si>
    <t>処理経過表　文言修正</t>
  </si>
  <si>
    <t>昇降機_処理経過表の文言修正</t>
  </si>
  <si>
    <t>全証明書、不必要な行削除。文言追加</t>
  </si>
  <si>
    <t>全証明書の下記説明部分に、所定の2行を追加。</t>
  </si>
  <si>
    <t>H27.3.1本受付分より</t>
  </si>
  <si>
    <t>4号もの及び型式</t>
  </si>
  <si>
    <t>戸建で2号もの</t>
  </si>
  <si>
    <t>　　　　　　　　　　　　　</t>
  </si>
  <si>
    <t>（　　　</t>
  </si>
  <si>
    <t>当社確認</t>
  </si>
  <si>
    <t>型式(ﾎｰﾑEV)小荷物 ￥15000　/　その他 ￥24000</t>
  </si>
  <si>
    <t>他社確認</t>
  </si>
  <si>
    <t>型式(ﾎｰﾑEV)小荷物 ￥25000　/　その他 ￥34000</t>
  </si>
  <si>
    <t>①平屋（一律）￥50,000  ②階避難→￥50,000+対象階×￥20,000</t>
  </si>
  <si>
    <t>③全館→￥50,000+階数×20,000</t>
  </si>
  <si>
    <t>手数料を新書式（3/1以降）に差し替え</t>
  </si>
  <si>
    <t>セルのスタイルの削除</t>
  </si>
  <si>
    <t>株式会社  近確機構</t>
  </si>
  <si>
    <t xml:space="preserve"> dOFFICE_name  6/1からの社名変更に対応</t>
  </si>
  <si>
    <t>社名最終変更</t>
  </si>
  <si>
    <t>cst_shinsei_NUMBER</t>
  </si>
  <si>
    <t>建築物_処理経過票　受付番号の表記を変更（ｼﾘｱﾙのみ出力）</t>
  </si>
  <si>
    <t>構造の枠に、ルート2の表記を追加</t>
  </si>
  <si>
    <t>手数料シートを差し替え</t>
  </si>
  <si>
    <t>一般用 その他－構造の文言を差し替え</t>
  </si>
  <si>
    <t>証明書シート　下部の会社名を現会社名に固定にする</t>
  </si>
  <si>
    <t>引受CK</t>
  </si>
  <si>
    <t/>
  </si>
  <si>
    <t>現金</t>
  </si>
  <si>
    <t>**shinsei_CHARGE_ID__RECEIPT_TO</t>
  </si>
  <si>
    <t>株式会社　オンス</t>
  </si>
  <si>
    <t>**shinsei_CHARGE_ID__DENPYOU_NO</t>
  </si>
  <si>
    <t>1</t>
  </si>
  <si>
    <t>**shinsei_CHARGE_ID__NOTE</t>
  </si>
  <si>
    <t>**shinsei_CHARGE_ID__RECEIPT_PRICE</t>
  </si>
  <si>
    <t>**shinsei_STR_TOTAL_CHARGE</t>
  </si>
  <si>
    <t>**shinsei_CHARGE_ID__BASIC_CHARGE</t>
  </si>
  <si>
    <t>**shinsei_CHARGE_ID__TIIKIWARIMASHI_SURYOU</t>
  </si>
  <si>
    <t>**shinsei_CHARGE_ID__TIIKIWARIMASHI_TANKA</t>
  </si>
  <si>
    <t>**shinsei_CHARGE_ID__TIIKIWARIMASHI_CHARGE</t>
  </si>
  <si>
    <t>**shinsei_CHARGE_ID__meisai01_ITEM_NAME</t>
  </si>
  <si>
    <t>**shinsei_CHARGE_ID__meisai01_SURYOU</t>
  </si>
  <si>
    <t>**shinsei_CHARGE_ID__meisai01_TANKA</t>
  </si>
  <si>
    <t>**shinsei_CHARGE_ID__meisai01_SYOUKEI</t>
  </si>
  <si>
    <t>**shinsei_CHARGE_ID__meisai06_ITEM_NAME</t>
  </si>
  <si>
    <t>**shinsei_CHARGE_ID__meisai06_SURYOU</t>
  </si>
  <si>
    <t>**shinsei_CHARGE_ID__meisai06_TANKA</t>
  </si>
  <si>
    <t>**shinsei_CHARGE_ID__meisai06_SYOUKEI</t>
  </si>
  <si>
    <t>**shinsei_CHARGE_ID__meisai07_ITEM_NAME</t>
  </si>
  <si>
    <t>**shinsei_CHARGE_ID__meisai07_SURYOU</t>
  </si>
  <si>
    <t>**shinsei_CHARGE_ID__meisai07_TANKA</t>
  </si>
  <si>
    <t>**shinsei_CHARGE_ID__meisai07_SYOUKEI</t>
  </si>
  <si>
    <t>**shinsei_CHARGE_ID__meisai08_ITEM_NAME</t>
  </si>
  <si>
    <t>**shinsei_CHARGE_ID__meisai08_SURYOU</t>
  </si>
  <si>
    <t>**shinsei_CHARGE_ID__meisai08_TANKA</t>
  </si>
  <si>
    <t>**shinsei_CHARGE_ID__meisai08_SYOUKEI</t>
  </si>
  <si>
    <t>**shinsei_CHARGE_ID__meisai09_ITEM_NAME</t>
  </si>
  <si>
    <t>**shinsei_CHARGE_ID__meisai09_SURYOU</t>
  </si>
  <si>
    <t>**shinsei_CHARGE_ID__meisai09_TANKA</t>
  </si>
  <si>
    <t>**shinsei_CHARGE_ID__meisai09_SYOUKEI</t>
  </si>
  <si>
    <t>**shinsei_CHARGE_ID__meisai10_ITEM_NAME</t>
  </si>
  <si>
    <t>**shinsei_CHARGE_ID__meisai10_SURYOU</t>
  </si>
  <si>
    <t>**shinsei_CHARGE_ID__meisai10_TANKA</t>
  </si>
  <si>
    <t>**shinsei_CHARGE_ID__meisai10_SYOUKEI</t>
  </si>
  <si>
    <t>**shinsei_CHARGE_ID__meisai11_ITEM_NAME</t>
  </si>
  <si>
    <t>**shinsei_CHARGE_ID__meisai11_SURYOU</t>
  </si>
  <si>
    <t>**shinsei_CHARGE_ID__meisai11_TANKA</t>
  </si>
  <si>
    <t>**shinsei_CHARGE_ID__meisai11_SYOUKEI</t>
  </si>
  <si>
    <t>**shinsei_CHARGE_ID__income01_INCOME_DATE</t>
  </si>
  <si>
    <t>**shinsei_CHARGE_ID__income02_INCOME_DATE</t>
  </si>
  <si>
    <t>**shinsei_CHARGE_ID__income03_INCOME_DATE</t>
  </si>
  <si>
    <t>**shinsei_CHARGE_ID__income01_INCOME_MONEY</t>
  </si>
  <si>
    <t>**shinsei_CHARGE_ID__income02_INCOME_MONEY</t>
  </si>
  <si>
    <t>**shinsei_CHARGE_ID__income03_INCOME_MONEY</t>
  </si>
  <si>
    <t>**charge_BASE_DATE</t>
  </si>
  <si>
    <t>**charge_cust__caption</t>
  </si>
  <si>
    <t>**charge_RECEIPT_PRICE</t>
  </si>
  <si>
    <t>**charge_RECEIPT_TO</t>
  </si>
  <si>
    <t>**charge_RECEIPT_DATE</t>
  </si>
  <si>
    <t>**charge_NOTE</t>
  </si>
  <si>
    <t>**charge_DETAIL_BIKO</t>
  </si>
  <si>
    <t>**charge_BASIC_CHARGE</t>
  </si>
  <si>
    <t>**charge_STR_SIHARAI_DATE</t>
  </si>
  <si>
    <t>**charge_STR_CHARGE</t>
  </si>
  <si>
    <t>**charge_STR_CHARGE_WARIMASHI</t>
  </si>
  <si>
    <t>**charge_TIIKIWARIMASHI_CHARGE</t>
  </si>
  <si>
    <t>**charge_meisai01_ITEM_NAME</t>
  </si>
  <si>
    <t>**charge_meisai01_SYOUKEI</t>
  </si>
  <si>
    <t>**charge_meisai02_ITEM_NAME</t>
  </si>
  <si>
    <t>**charge_meisai02_SYOUKEI</t>
  </si>
  <si>
    <t>**charge_meisai03_ITEM_NAME</t>
  </si>
  <si>
    <t>**charge_meisai03_SYOUKEI</t>
  </si>
  <si>
    <t>**charge_meisai04_ITEM_NAME</t>
  </si>
  <si>
    <t>**charge_meisai04_SYOUKEI</t>
  </si>
  <si>
    <t>**charge_meisai05_ITEM_NAME</t>
  </si>
  <si>
    <t>**charge_meisai05_SYOUKEI</t>
  </si>
  <si>
    <t>**charge_meisai06_ITEM_NAME</t>
  </si>
  <si>
    <t>**charge_meisai06_SYOUKEI</t>
  </si>
  <si>
    <t>**charge_meisai07_ITEM_NAME</t>
  </si>
  <si>
    <t>**charge_meisai07_SYOUKEI</t>
  </si>
  <si>
    <t>**charge_meisai08_ITEM_NAME</t>
  </si>
  <si>
    <t>**charge_meisai08_SYOUKEI</t>
  </si>
  <si>
    <t>**charge_meisai09_ITEM_NAME</t>
  </si>
  <si>
    <t>**charge_meisai09_SYOUKEI</t>
  </si>
  <si>
    <t>**charge_meisai10_ITEM_NAME</t>
  </si>
  <si>
    <t>**charge_meisai10_SYOUKEI</t>
  </si>
  <si>
    <t>**charge_meisai11_ITEM_NAME</t>
  </si>
  <si>
    <t>**charge_meisai11_SYOUKEI</t>
  </si>
  <si>
    <t>**charge_income01_INCOME_DATE</t>
  </si>
  <si>
    <t>**charge_income02_INCOME_DATE</t>
  </si>
  <si>
    <t>**charge_income03_INCOME_DATE</t>
  </si>
  <si>
    <t>**charge_income01_INCOME_MONEY</t>
  </si>
  <si>
    <t>**charge_income02_INCOME_MONEY</t>
  </si>
  <si>
    <t>**charge_income03_INCOME_MONEY</t>
  </si>
  <si>
    <t>**charge_strtower01_CHARGE</t>
  </si>
  <si>
    <t>**charge_strtower01_CHARGE_WARIMASHI</t>
  </si>
  <si>
    <t>**charge_strtower01_CHARGE_TOTAL</t>
  </si>
  <si>
    <t>**charge_strtower02_CHARGE</t>
  </si>
  <si>
    <t>**charge_strtower02_CHARGE_WARIMASHI</t>
  </si>
  <si>
    <t>**charge_strtower02_CHARGE_TOTAL</t>
  </si>
  <si>
    <t>**charge_strtower03_CHARGE</t>
  </si>
  <si>
    <t>**charge_strtower03_CHARGE_WARIMASHI</t>
  </si>
  <si>
    <t>**charge_strtower03_CHARGE_TOTAL</t>
  </si>
  <si>
    <t>**charge_strtower04_CHARGE</t>
  </si>
  <si>
    <t>**charge_strtower04_CHARGE_WARIMASHI</t>
  </si>
  <si>
    <t>**charge_strtower04_CHARGE_TOTAL</t>
  </si>
  <si>
    <t>**charge_strtower05_CHARGE</t>
  </si>
  <si>
    <t>**charge_strtower05_CHARGE_WARIMASHI</t>
  </si>
  <si>
    <t>**charge_strtower05_CHARGE_TOTAL</t>
  </si>
  <si>
    <t>**charge_strtower06_CHARGE</t>
  </si>
  <si>
    <t>**charge_strtower06_CHARGE_WARIMASHI</t>
  </si>
  <si>
    <t>**charge_strtower06_CHARGE_TOTAL</t>
  </si>
  <si>
    <t>**charge_strtower07_CHARGE</t>
  </si>
  <si>
    <t>**charge_strtower07_CHARGE_WARIMASHI</t>
  </si>
  <si>
    <t>**charge_strtower07_CHARGE_TOTAL</t>
  </si>
  <si>
    <t>**charge_strtower08_CHARGE</t>
  </si>
  <si>
    <t>**charge_strtower08_CHARGE_WARIMASHI</t>
  </si>
  <si>
    <t>**charge_strtower08_CHARGE_TOTAL</t>
  </si>
  <si>
    <t>**charge_strtower09_CHARGE</t>
  </si>
  <si>
    <t>**charge_strtower09_CHARGE_WARIMASHI</t>
  </si>
  <si>
    <t>**charge_strtower09_CHARGE_TOTAL</t>
  </si>
  <si>
    <t>**charge_strtower10_CHARGE</t>
  </si>
  <si>
    <t>**charge_strtower10_CHARGE_WARIMASHI</t>
  </si>
  <si>
    <t>**charge_strtower10_CHARGE_TOTAL</t>
  </si>
  <si>
    <t>**charge_strtower11_CHARGE</t>
  </si>
  <si>
    <t>**charge_strtower11_CHARGE_WARIMASHI</t>
  </si>
  <si>
    <t>**charge_strtower11_CHARGE_TOTAL</t>
  </si>
  <si>
    <t>**charge_strtower12_CHARGE</t>
  </si>
  <si>
    <t>**charge_strtower12_CHARGE_WARIMASHI</t>
  </si>
  <si>
    <t>**charge_strtower12_CHARGE_TOTAL</t>
  </si>
  <si>
    <t>**charge_strtower13_CHARGE</t>
  </si>
  <si>
    <t>**charge_strtower13_CHARGE_WARIMASHI</t>
  </si>
  <si>
    <t>**charge_strtower13_CHARGE_TOTAL</t>
  </si>
  <si>
    <t>**charge_strtower14_CHARGE</t>
  </si>
  <si>
    <t>**charge_strtower14_CHARGE_WARIMASHI</t>
  </si>
  <si>
    <t>**charge_strtower14_CHARGE_TOTAL</t>
  </si>
  <si>
    <t>**charge_strtower15_CHARGE</t>
  </si>
  <si>
    <t>**charge_strtower15_CHARGE_WARIMASHI</t>
  </si>
  <si>
    <t>**charge_strtower15_CHARGE_TOTAL</t>
  </si>
  <si>
    <t>**charge_strtower16_CHARGE</t>
  </si>
  <si>
    <t>**charge_strtower16_CHARGE_WARIMASHI</t>
  </si>
  <si>
    <t>**charge_strtower16_CHARGE_TOTAL</t>
  </si>
  <si>
    <t>**charge_strtower17_CHARGE</t>
  </si>
  <si>
    <t>**charge_strtower17_CHARGE_WARIMASHI</t>
  </si>
  <si>
    <t>**charge_strtower17_CHARGE_TOTAL</t>
  </si>
  <si>
    <t>**charge_strtower18_CHARGE</t>
  </si>
  <si>
    <t>**charge_strtower18_CHARGE_WARIMASHI</t>
  </si>
  <si>
    <t>**charge_strtower18_CHARGE_TOTAL</t>
  </si>
  <si>
    <t>**charge_strtower19_CHARGE</t>
  </si>
  <si>
    <t>**charge_strtower19_CHARGE_WARIMASHI</t>
  </si>
  <si>
    <t>**charge_strtower19_CHARGE_TOTAL</t>
  </si>
  <si>
    <t>**charge_strtower20_CHARGE</t>
  </si>
  <si>
    <t>**charge_strtower20_CHARGE_WARIMASHI</t>
  </si>
  <si>
    <t>**charge_strtower20_CHARGE_TOTAL</t>
  </si>
  <si>
    <t>**charge_strtower21_CHARGE</t>
  </si>
  <si>
    <t>**charge_strtower21_CHARGE_WARIMASHI</t>
  </si>
  <si>
    <t>**charge_strtower21_CHARGE_TOTAL</t>
  </si>
  <si>
    <t>**charge_strtower22_CHARGE</t>
  </si>
  <si>
    <t>**charge_strtower22_CHARGE_WARIMASHI</t>
  </si>
  <si>
    <t>**charge_strtower22_CHARGE_TOTAL</t>
  </si>
  <si>
    <t>**charge_strtower23_CHARGE</t>
  </si>
  <si>
    <t>**charge_strtower23_CHARGE_WARIMASHI</t>
  </si>
  <si>
    <t>**charge_strtower23_CHARGE_TOTAL</t>
  </si>
  <si>
    <t>**charge_strtower24_CHARGE</t>
  </si>
  <si>
    <t>**charge_strtower24_CHARGE_WARIMASHI</t>
  </si>
  <si>
    <t>**charge_strtower24_CHARGE_TOTAL</t>
  </si>
  <si>
    <t>**charge_strtower25_CHARGE</t>
  </si>
  <si>
    <t>**charge_strtower25_CHARGE_WARIMASHI</t>
  </si>
  <si>
    <t>**charge_strtower25_CHARGE_TOTAL</t>
  </si>
  <si>
    <t>**charge_strtower26_CHARGE</t>
  </si>
  <si>
    <t>**charge_strtower26_CHARGE_WARIMASHI</t>
  </si>
  <si>
    <t>**charge_strtower26_CHARGE_TOTAL</t>
  </si>
  <si>
    <t>**charge_strtower27_CHARGE</t>
  </si>
  <si>
    <t>**charge_strtower27_CHARGE_WARIMASHI</t>
  </si>
  <si>
    <t>**charge_strtower27_CHARGE_TOTAL</t>
  </si>
  <si>
    <t>**charge_strtower28_CHARGE</t>
  </si>
  <si>
    <t>**charge_strtower28_CHARGE_WARIMASHI</t>
  </si>
  <si>
    <t>**charge_strtower28_CHARGE_TOTAL</t>
  </si>
  <si>
    <t>**charge_strtower29_CHARGE</t>
  </si>
  <si>
    <t>**charge_strtower29_CHARGE_WARIMASHI</t>
  </si>
  <si>
    <t>**charge_strtower29_CHARGE_TOTAL</t>
  </si>
  <si>
    <t>**charge_strtower30_CHARGE</t>
  </si>
  <si>
    <t>**charge_strtower30_CHARGE_WARIMASHI</t>
  </si>
  <si>
    <t>**charge_strtower30_CHARGE_TOTAL</t>
  </si>
  <si>
    <t>**config_PRESENTER_CORPTYPE</t>
  </si>
  <si>
    <t>**config_PRESENTER_CORP</t>
  </si>
  <si>
    <t>株式会社  近確機構</t>
  </si>
  <si>
    <t>**config_PRESENTER_DAIHYOSYA</t>
  </si>
  <si>
    <t>**config_PRESENTER_ADDRESS</t>
  </si>
  <si>
    <t>大阪府大阪市中央区農人橋2-1-10</t>
  </si>
  <si>
    <t>**config_PRESENTER_ADDRESS2</t>
  </si>
  <si>
    <t>関口町ビル</t>
  </si>
  <si>
    <t>**config_PRESENTER_TEL</t>
  </si>
  <si>
    <t>06-6942-7720</t>
  </si>
  <si>
    <t>**config_BANK_NAME</t>
  </si>
  <si>
    <t>三菱東京ＵＦＪ銀行</t>
  </si>
  <si>
    <t>**config_BANK_BRANCH_NAME</t>
  </si>
  <si>
    <t>柏支店</t>
  </si>
  <si>
    <t>**config_ACCOUNT_TYPE</t>
  </si>
  <si>
    <t>普通</t>
  </si>
  <si>
    <t>**config_ACCOUNT_NO</t>
  </si>
  <si>
    <t>4952728</t>
  </si>
  <si>
    <t>**config_CUSTOM_TYPE</t>
  </si>
  <si>
    <t>KNK</t>
  </si>
  <si>
    <t>**config_CUSTOM_CODE</t>
  </si>
  <si>
    <t>**office_COMPANY_NAME</t>
  </si>
  <si>
    <t>株式会社 近畿建築確認検査機構</t>
  </si>
  <si>
    <t>**office_OFFICE_NAME</t>
  </si>
  <si>
    <t>本社</t>
  </si>
  <si>
    <t>**office_POST_CODE</t>
  </si>
  <si>
    <t>540-0011</t>
  </si>
  <si>
    <t>**office_ADDRESS</t>
  </si>
  <si>
    <t>**office_ADDRESS2</t>
  </si>
  <si>
    <t>大阪建築会館7階</t>
  </si>
  <si>
    <t>**office_TEL</t>
  </si>
  <si>
    <t>**office_FAX</t>
  </si>
  <si>
    <t>06-6942-7718</t>
  </si>
  <si>
    <t>**office_BANK_NAME</t>
  </si>
  <si>
    <t>**office_BANK_BRANCH_NAME</t>
  </si>
  <si>
    <t>**office_ACCOUNT_TYPE</t>
  </si>
  <si>
    <t>**office_ACCOUNT_NO</t>
  </si>
  <si>
    <t>**shinsei_PROVO_TANTO_USER_ID</t>
  </si>
  <si>
    <t>東　五雄</t>
  </si>
  <si>
    <t>**shinsei_STR_1ST_USER_ID</t>
  </si>
  <si>
    <t>**shinsei_STR_2ND_USER_ID</t>
  </si>
  <si>
    <t>**shinseijudgehist_accept_isyou1_TANTO_USER_ID</t>
  </si>
  <si>
    <t>**shinseijudgehist_accept_isyou2_TANTO_USER_ID</t>
  </si>
  <si>
    <t>**shinseijudgehist_accept_isyou3_TANTO_USER_ID</t>
  </si>
  <si>
    <t>**shinseijudgehist_accept_kouzou1_TANTO_USER_ID</t>
  </si>
  <si>
    <t>**shinseijudgehist_accept_kouzou2_TANTO_USER_ID</t>
  </si>
  <si>
    <t>**shinseijudgehist_accept_kouzou3_TANTO_USER_ID</t>
  </si>
  <si>
    <t>**shinseijudgehist_accept_setubi1_TANTO_USER_ID</t>
  </si>
  <si>
    <t>**shinseijudgehist_accept_setubi2_TANTO_USER_ID</t>
  </si>
  <si>
    <t>**shinseijudgehist_accept_setubi3_TANTO_USER_ID</t>
  </si>
  <si>
    <t>**shinseijudgehist_provo_isyou1_TANTO_USER_ID</t>
  </si>
  <si>
    <t>**shinseijudgehist_provo_kouzou1_TANTO_USER_ID</t>
  </si>
  <si>
    <t>**my_ip</t>
  </si>
  <si>
    <t>**myoffice_OFFICE_NO</t>
  </si>
  <si>
    <t>**loginuser_LOGIN_ID</t>
  </si>
  <si>
    <t>**loginuser_NAME</t>
  </si>
  <si>
    <t>建築物</t>
  </si>
  <si>
    <t>確認</t>
  </si>
  <si>
    <t>**shinsei_INSPECTION_NO</t>
  </si>
  <si>
    <t>_button_kind</t>
  </si>
  <si>
    <t>_button2</t>
  </si>
  <si>
    <t>_button_no</t>
  </si>
  <si>
    <t>**city_ken</t>
  </si>
  <si>
    <t>**city_city</t>
  </si>
  <si>
    <t>尼崎市</t>
  </si>
  <si>
    <t>**city_town</t>
  </si>
  <si>
    <t>**city_street</t>
  </si>
  <si>
    <t>**city_FIRE_STATION_ID__NAME</t>
  </si>
  <si>
    <t>尼崎市消防局</t>
  </si>
  <si>
    <t>**city_FIRE_STATION_ID__DEPART_NAME</t>
  </si>
  <si>
    <t>予防担当</t>
  </si>
  <si>
    <t>**city_FIRE_STATION_ID__DEST_NAME</t>
  </si>
  <si>
    <t>消防長</t>
  </si>
  <si>
    <t>**city_HEALTH_CENTER_ID__NAME</t>
  </si>
  <si>
    <t>尼崎市保健所</t>
  </si>
  <si>
    <t>**city_HEALTH_CENTER_ID__PURIFIER_TANK_DEST_NAME</t>
  </si>
  <si>
    <t>生活衛生課</t>
  </si>
  <si>
    <t>**city_HEALTH_CENTER_ID__DEST_NAME</t>
  </si>
  <si>
    <t>尼崎市保健所長</t>
  </si>
  <si>
    <t>**shinsei_KAKUNINZUMI_HOUKOKU_GYOSEI_NO</t>
  </si>
  <si>
    <t>**city_CITY_KIND</t>
  </si>
  <si>
    <t>特定行政庁</t>
  </si>
  <si>
    <t>**shinsei_REPORT_DEST_NAME</t>
  </si>
  <si>
    <t>尼崎市役所</t>
  </si>
  <si>
    <t>**shinsei_REPORT_DEST_DEPART_NAME</t>
  </si>
  <si>
    <t>都市局　建築指導課</t>
  </si>
  <si>
    <t>**shinsei_REPORT_DEST_FAX</t>
  </si>
  <si>
    <t>**shinsei_REPORT_DEST_SYUJI_NAME</t>
  </si>
  <si>
    <t>尼崎市建築主事</t>
  </si>
  <si>
    <t>**shinsei_REPORT_DEST_GYOUSEI_NAME</t>
  </si>
  <si>
    <t>尼崎市長</t>
  </si>
  <si>
    <t>**city_CITY_PUBLIC_OFFICE_ID__NAME</t>
  </si>
  <si>
    <t>**city_CITY_PUBLIC_OFFICE_ID__DEPART_NAME</t>
  </si>
  <si>
    <t>**city_CITY_PUBLIC_OFFICE_ID__FAX</t>
  </si>
  <si>
    <t>**city_CITY_PUBLIC_OFFICE_ID__SYUJI_NAME</t>
  </si>
  <si>
    <t>**city_CITY_PUBLIC_OFFICE_ID__GYOUSEI_NAME</t>
  </si>
  <si>
    <t>**city_KEN1_PUBLIC_OFFICE_ID__NAME</t>
  </si>
  <si>
    <t>**city_KEN1_PUBLIC_OFFICE_ID__DEPART_NAME</t>
  </si>
  <si>
    <t>**city_KEN1_PUBLIC_OFFICE_ID__FAX</t>
  </si>
  <si>
    <t>**city_KEN1_PUBLIC_OFFICE_ID__SYUJI_NAME</t>
  </si>
  <si>
    <t>**city_KEN1_PUBLIC_OFFICE_ID__GYOUSEI_NAME</t>
  </si>
  <si>
    <t>**city_KEN2_PUBLIC_OFFICE_ID__NAME</t>
  </si>
  <si>
    <t>**city_KEN2_PUBLIC_OFFICE_ID__DEPART_NAME</t>
  </si>
  <si>
    <t>**city_KEN2_PUBLIC_OFFICE_ID__FAX</t>
  </si>
  <si>
    <t>**city_KEN2_PUBLIC_OFFICE_ID__SYUJI_NAME</t>
  </si>
  <si>
    <t>**city_KEN2_PUBLIC_OFFICE_ID__GYOUSEI_NAME</t>
  </si>
  <si>
    <t>**city_KEN_PUBLIC_OFFICE_ID__NAME</t>
  </si>
  <si>
    <t>**city_KEN_PUBLIC_OFFICE_ID__DEPART_NAME</t>
  </si>
  <si>
    <t>**city_KEN_PUBLIC_OFFICE_ID__FAX</t>
  </si>
  <si>
    <t>**city_KEN_PUBLIC_OFFICE_ID__SYUJI_NAME</t>
  </si>
  <si>
    <t>**city_KEN_PUBLIC_OFFICE_ID__GYOUSEI_NAME</t>
  </si>
  <si>
    <t>無</t>
  </si>
  <si>
    <t>shinsei_PROVO_TANTO_USER_ID</t>
  </si>
  <si>
    <t>**shinsei_PROVO_STRUCT_TANTO_USER_ID</t>
  </si>
  <si>
    <t>**shinsei_FLAT35_FLAG</t>
  </si>
  <si>
    <t>**shinsei_FLAT35_FLAG__umu</t>
  </si>
  <si>
    <t>**shinsei_KASI_FLAG</t>
  </si>
  <si>
    <t>**shinsei_KASI_FLAG__umu</t>
  </si>
  <si>
    <t>**shinsei_HYOUKA_FLAG</t>
  </si>
  <si>
    <t>**shinsei_HYOUKA_FLAG__umu</t>
  </si>
  <si>
    <t>**shinsei_sekkeijimu_JIMU_NAME</t>
  </si>
  <si>
    <t>**shinsei_sekkeijimu_NAME</t>
  </si>
  <si>
    <t>**shinsei_sekkeijimu_TEL</t>
  </si>
  <si>
    <t>**shinsei_sekkeijimu_FAX</t>
  </si>
  <si>
    <t>**shinsei_sekkeijimu_EMAIL</t>
  </si>
  <si>
    <t>**shinsei_kouzoujimu_JIMU_NAME</t>
  </si>
  <si>
    <t>**shinsei_kouzoujimu_NAME</t>
  </si>
  <si>
    <t>**shinsei_kouzoujimu_TEL</t>
  </si>
  <si>
    <t>**shinsei_kouzoujimu_FAX</t>
  </si>
  <si>
    <t>**shinsei_kouzoujimu_EMAIL</t>
  </si>
  <si>
    <t>**shinsei_build_GENTI_CYOUSA_DATE</t>
  </si>
  <si>
    <t>**shinsei_build_KARI_UKETUKE_KIBOU_DATE</t>
  </si>
  <si>
    <t>**shinsei_build_KOUZOU_SYUURYOU_DATE</t>
  </si>
  <si>
    <t>**shinsei_build_ISYOU_SYUURYOU_DATE</t>
  </si>
  <si>
    <t>**shinsei_build_HIKIUKE_MIKOMI_DATE</t>
  </si>
  <si>
    <t>**shinsei_build_ZUMISYOU_KIBOU_DATE</t>
  </si>
  <si>
    <t>**shinsei_build_BETU_KIKAN_FLAG</t>
  </si>
  <si>
    <t>**shinsei_build_ISYOU_SHINSA_COMMENT</t>
  </si>
  <si>
    <t>**shinsei_build_KOUZOU_SHINSA_COMMENT</t>
  </si>
  <si>
    <t>**shinsei_HIKIUKE_KAKU_KOUFU_YOTEI_DATE</t>
  </si>
  <si>
    <t>**owner_name1</t>
  </si>
  <si>
    <t>代表取締役　森　満</t>
  </si>
  <si>
    <t>**owner_name2</t>
  </si>
  <si>
    <t>**owner_name3</t>
  </si>
  <si>
    <t>**owner_name4</t>
  </si>
  <si>
    <t>**owner_name5</t>
  </si>
  <si>
    <t>**owner_name6</t>
  </si>
  <si>
    <t>**shinsei_APPLICANT_CORP</t>
  </si>
  <si>
    <t>**shinsei_APPLICANT_NAME_KANA</t>
  </si>
  <si>
    <t>**shinsei_APPLICANT_POST</t>
  </si>
  <si>
    <t>**shinsei_APPLICANT_NAME</t>
  </si>
  <si>
    <t>株式会社　プラスワン　代表取締役　森　満</t>
  </si>
  <si>
    <t>**shinsei_APPLICANT_ZIP</t>
  </si>
  <si>
    <t>**shinsei_APPLICANT__address</t>
  </si>
  <si>
    <t>**shinsei_APPLICANT_TEL</t>
  </si>
  <si>
    <t>**shinsei_NUSHI_CORP</t>
  </si>
  <si>
    <t>株式会社　プラスワン　</t>
  </si>
  <si>
    <t>**shinsei_NUSHI_NAME_KANA</t>
  </si>
  <si>
    <t>ｶﾌﾞｼｷｶﾞｲｼｬ ﾌﾟﾗｽﾜﾝ   ﾀﾞｲﾋｮｳﾄﾘｼﾏﾘﾔｸ  ﾓﾘ ﾐﾂﾙ</t>
  </si>
  <si>
    <t>**shinsei_NUSHI_POST</t>
  </si>
  <si>
    <t>**shinsei_NUSHI_NAME</t>
  </si>
  <si>
    <t>**shinsei_NUSHI_POST_CODE</t>
  </si>
  <si>
    <t>661-0025</t>
  </si>
  <si>
    <t>**shinsei_NUSHI__address</t>
  </si>
  <si>
    <t>兵庫県尼崎市立花町1丁目23-1 Plus Oneﾋﾞﾙ2階</t>
  </si>
  <si>
    <t>**shinsei_NUSHI_TEL</t>
  </si>
  <si>
    <t>06-6424-6120</t>
  </si>
  <si>
    <t>**shinsei_owner2_CORP</t>
  </si>
  <si>
    <t>田中　良典</t>
  </si>
  <si>
    <t>**shinsei_DAIRI_POST_CODE</t>
  </si>
  <si>
    <t>533-0033</t>
  </si>
  <si>
    <t>大阪府大阪市東淀川区東中島4丁目1-11 シャンボール第3新大阪1F</t>
  </si>
  <si>
    <t>06-6320-8090</t>
  </si>
  <si>
    <t>**shinsei_DAIRI_FAX</t>
  </si>
  <si>
    <t>06-6320-7391</t>
  </si>
  <si>
    <t>**shinsei_SEKOU_JIMU_NAME</t>
  </si>
  <si>
    <t>株式会社　プラスワン　　（建設業法3条1項の但し書による軽微な建設工事）</t>
  </si>
  <si>
    <t>**shinsei_SEKOU__address</t>
  </si>
  <si>
    <t>**shinsei_SEKOU_ADDRESS</t>
  </si>
  <si>
    <t>尼崎市立花町1丁目23-1 Plus Oneﾋﾞﾙ2階</t>
  </si>
  <si>
    <t>**shinsei_SEKOU_TEL</t>
  </si>
  <si>
    <t>兵庫県尼崎市長洲中通三丁目79番</t>
  </si>
  <si>
    <t>兵庫県尼崎市長洲中通3丁目（未定）</t>
  </si>
  <si>
    <t>**shinsei_build_SHIKITI_MENSEKI_1_TOTAL</t>
  </si>
  <si>
    <t>**shinsei_build_YOUTO_CODE</t>
  </si>
  <si>
    <t>08010</t>
  </si>
  <si>
    <t>一戸建ての住宅（車庫付）</t>
  </si>
  <si>
    <t>**shinsei_build_YOUTO_PRINT</t>
  </si>
  <si>
    <t>**shinsei_kouji</t>
  </si>
  <si>
    <t>■</t>
  </si>
  <si>
    <t>□</t>
  </si>
  <si>
    <t>木造（在来工法）</t>
  </si>
  <si>
    <t>**shinsei_BILL_NAME</t>
  </si>
  <si>
    <t>（仮称）尼崎市長洲中通三丁目　新築工事</t>
  </si>
  <si>
    <t>**shinsei_final_KAN_KANRYOU_YOTEI_DATE</t>
  </si>
  <si>
    <t>**shinsei_FIRE_STATION_NAME</t>
  </si>
  <si>
    <t>**shinsei_FIRE_STATION_DEPART_NAME</t>
  </si>
  <si>
    <t>同意</t>
  </si>
  <si>
    <t>**shinsei_FIRE_SUBMIT_DATE</t>
  </si>
  <si>
    <t>**shinsei_FIRE_NOTIFY_DATE</t>
  </si>
  <si>
    <t>shinsei_HEALTH_CENTER_NAME</t>
  </si>
  <si>
    <t>shinsei_HEALTH_CENTER_DEPART_NAME</t>
  </si>
  <si>
    <t>shinsei_PURIFIER_TANK_FLAG</t>
  </si>
  <si>
    <t>**shinsei_build_STAT_SEPTICTANK_SYORI</t>
  </si>
  <si>
    <t>**shinsei_build_STAT_SEPTICTANK_CAPACITY</t>
  </si>
  <si>
    <t>**shinsei_HEALTH_NOTIFY_DATE</t>
  </si>
  <si>
    <t>**shinsei_SEPTICTANK_KOUZOU_SYURUI</t>
  </si>
  <si>
    <t>**shinsei_KAKUNINZUMI_HOUKOKU_GYOSEI_DATE</t>
  </si>
  <si>
    <t>**shinsei_build_DOURO_SIKITI_HASSO_DATE</t>
  </si>
  <si>
    <t>２号</t>
  </si>
  <si>
    <t>**shinsei_ACCEPT_TOKKI_JIKOU</t>
  </si>
  <si>
    <t>**shinsei_ev_EV_COUNT</t>
  </si>
  <si>
    <t>**shinsei_ev_WORKCOUNT_SHINSEI</t>
  </si>
  <si>
    <t>**shinsei_ev_KOUSAKU_TAKASA_MAX</t>
  </si>
  <si>
    <t>**shinsei_ev_KOUSAKU_TAKASA_BIKO</t>
  </si>
  <si>
    <t>**shinsei_ev_KOUSAKU882_YOUTO</t>
  </si>
  <si>
    <t>**shinsei_ev_TIKUZOUMENSEKI_SHINSEI</t>
  </si>
  <si>
    <t>**shinsei_ev_TIKUZOUMENSEKI_IGAI</t>
  </si>
  <si>
    <t>**shinsei_ev_TIKUZOUMENSEKI_TOTAL</t>
  </si>
  <si>
    <t>**shinsei_BUILDSHINSEI_ISSUE_NO</t>
  </si>
  <si>
    <t>**shinsei_BUILDSHINSEI_ISSUE_DATE</t>
  </si>
  <si>
    <t>**shinsei_BUILDSHINSEI_HOU6</t>
  </si>
  <si>
    <t>**buildobject__shinsei_build_kouji</t>
  </si>
  <si>
    <t>**shinsei_intermediate_CYU1_NITTEI</t>
  </si>
  <si>
    <t>**shinsei_INTER_KOUKU</t>
  </si>
  <si>
    <t>**shinsei_BUILD_NAME_COMP</t>
  </si>
  <si>
    <t>**shinsei_PROVO_DATE</t>
  </si>
  <si>
    <t>**shinsei_ACCEPT_DATE</t>
  </si>
  <si>
    <t>**shinsei_HIKIUKE_DATE</t>
  </si>
  <si>
    <t>**shinsei_HIKIUKE_TUUTI_DATE</t>
  </si>
  <si>
    <t>**shinsei_UKETUKE_NO</t>
  </si>
  <si>
    <t>H27確認建築近確0002130</t>
  </si>
  <si>
    <t>**shinsei_NUMBER</t>
  </si>
  <si>
    <t>**shinsei_ISSUE_DATE</t>
  </si>
  <si>
    <t>**shinsei_intermediate_KENSA_KEKKA</t>
  </si>
  <si>
    <t>**shinsei_KAN_KENSA_KEKKA</t>
  </si>
  <si>
    <t>**kakaru_shinsei_ACCEPT_DATE</t>
  </si>
  <si>
    <t>**kakaru_shinsei_HIKIUKE_DATE</t>
  </si>
  <si>
    <t>**kakaru_shinsei_UKETUKE_NO</t>
  </si>
  <si>
    <t>**kakaru_shinsei_INSPECTION_TYPE</t>
  </si>
  <si>
    <t>**kakaru_shinsei_ISSUE_DATE</t>
  </si>
  <si>
    <t>**kakaru_shinsei_ISSUE_NO</t>
  </si>
  <si>
    <t>**kakaru_shinsei_ISSUE_KOUFU_NAME</t>
  </si>
  <si>
    <t>**shinsei_TEKIHAN_KIKAN_CODE</t>
  </si>
  <si>
    <t>**shinsei_STR_SHINSEI_TOWERS</t>
  </si>
  <si>
    <t>**shinsei_strtower01_JUDGE</t>
  </si>
  <si>
    <t>**shinsei_STRPROVO_NOTIFY_DATE</t>
  </si>
  <si>
    <t>**shinsei_STRIRAI_DATE</t>
  </si>
  <si>
    <t>**shinsei_STRIRAI_TEKIHAN_ACCEPT_DATE</t>
  </si>
  <si>
    <t>**shinsei_STRIRAI_TEKIHAN_ACCEPT_NO</t>
  </si>
  <si>
    <t>**shinsei_STR_EXCEEDED_DATE</t>
  </si>
  <si>
    <t>**shinsei_STRTORISAGE_TEISYUTU_DATE</t>
  </si>
  <si>
    <t>空データ時、和暦表示</t>
  </si>
  <si>
    <t>**p2_shinsei_KAKUNINZUMI_KENSAIN</t>
  </si>
  <si>
    <t>**p2_shinsei_ISSUE_NO</t>
  </si>
  <si>
    <t>**p2_shinsei_ISSUE_DATE</t>
  </si>
  <si>
    <t>**p2_shinsei_HEN_SUMI_KOUFU_NAME</t>
  </si>
  <si>
    <t>**p2_shinsei_HEN_SUMI_NO</t>
  </si>
  <si>
    <t>**p2_shinsei_HEN_SUMI_KOUFU_DATE</t>
  </si>
  <si>
    <t>**shinsei_IMPOSS1_NOTIFY_ID__STRUCTNOTIFT_NOTIFT_DATE</t>
  </si>
  <si>
    <t>**shinsei_IMPOSS1_NOTIFY_ID__STRUCTNOTIFT_NOTIFT_NO</t>
  </si>
  <si>
    <t>**shinsei_IMPOSS1_NOTIFY_ID__STRUCTNOTIFT_TUIKA_DATE</t>
  </si>
  <si>
    <t>**shinsei_IMPOSS1_NOTIFY_ID__STRUCTTUIKA_NOTIFT_DATE</t>
  </si>
  <si>
    <t>**shinsei_IMPOSS2_NOTIFY_ID__NOTIFY_NOTE</t>
  </si>
  <si>
    <t>**shinsei_IMPOSS2_NOTIFY_ID__STRUCTNOTIFT_NOTIFT_DATE</t>
  </si>
  <si>
    <t>**shinsei_IMPOSS2_NOTIFY_ID__STRUCTNOTIFT_NOTIFT_NO</t>
  </si>
  <si>
    <t>**shinsei_IMPOSS2_NOTIFY_ID__STRUCTNOTIFT_TUIKA_DATE</t>
  </si>
  <si>
    <t>**shinsei_IMPOSS2_NOTIFY_ID__STRUCTTUIKA_NOTIFT_DATE</t>
  </si>
  <si>
    <t>**shinsei_IMPOSS3_NOTIFY_ID__STRUCTNOTIFT_NOTIFT_DATE</t>
  </si>
  <si>
    <t>**shinsei_IMPOSS3_NOTIFY_ID__STRUCTNOTIFT_NOTIFT_NO</t>
  </si>
  <si>
    <t>**shinsei_IMPOSS3_NOTIFY_ID__STRUCTNOTIFT_TUIKA_DATE</t>
  </si>
  <si>
    <t>**shinsei_IMPOSS3_NOTIFY_ID__STRUCTTUIKA_NOTIFT_DATE</t>
  </si>
  <si>
    <t>**shinsei_IMPOSS4_NOTIFY_ID__STRUCTNOTIFT_NOTIFT_DATE</t>
  </si>
  <si>
    <t>**shinsei_IMPOSS4_NOTIFY_ID__STRUCTNOTIFT_NOTIFT_NO</t>
  </si>
  <si>
    <t>**shinsei_IMPOSS4_NOTIFY_ID__STRUCTNOTIFT_TUIKA_DATE</t>
  </si>
  <si>
    <t>**shinsei_IMPOSS4_NOTIFY_ID__STRUCTTUIKA_NOTIFT_DATE</t>
  </si>
  <si>
    <t>**shinsei_IMPOSS5_NOTIFY_ID__STRUCTNOTIFT_NOTIFT_DATE</t>
  </si>
  <si>
    <t>**shinsei_IMPOSS5_NOTIFY_ID__STRUCTNOTIFT_NOTIFT_NO</t>
  </si>
  <si>
    <t>**shinsei_IMPOSS5_NOTIFY_ID__STRUCTNOTIFT_TUIKA_DATE</t>
  </si>
  <si>
    <t>**shinsei_IMPOSS5_NOTIFY_ID__STRUCTTUIKA_NOTIFT_DATE</t>
  </si>
  <si>
    <t>**shinsei_IMPOSS6_NOTIFY_ID__STRUCTNOTIFT_NOTIFT_DATE</t>
  </si>
  <si>
    <t>**shinsei_IMPOSS6_NOTIFY_ID__STRUCTNOTIFT_NOTIFT_NO</t>
  </si>
  <si>
    <t>**shinsei_IMPOSS6_NOTIFY_ID__STRUCTNOTIFT_TUIKA_DATE</t>
  </si>
  <si>
    <t>**shinsei_IMPOSS6_NOTIFY_ID__STRUCTTUIKA_NOTIFT_DATE</t>
  </si>
  <si>
    <t>**shinsei_IMPOSSX_NOTIFY_ID__STRUCTNOTIFT_NOTIFT_DATE</t>
  </si>
  <si>
    <t>**shinsei_IMPOSSX_NOTIFY_ID__STRUCTNOTIFT_NOTIFT_NO</t>
  </si>
  <si>
    <t>**shinsei_IMPOSSX_NOTIFY_ID__STRUCTNOTIFT_TUIKA_DATE</t>
  </si>
  <si>
    <t>**shinsei_IMPOSSX_NOTIFY_ID__STRUCTTUIKA_NOTIFT_DATE</t>
  </si>
  <si>
    <t>**shinsei_NG_NOTIFY_KENSA_DATE</t>
  </si>
  <si>
    <t>**shinsei_NG1_NOTIFY_ID__STRUCTNOTIFT_NOTIFT_DATE</t>
  </si>
  <si>
    <t>**shinsei_NG1_NOTIFY_ID__STRUCTNOTIFT_NOTIFT_NO</t>
  </si>
  <si>
    <t>**shinsei_NG1_NOTIFY_ID__STRUCTNOTIFT_TUIKA_DATE</t>
  </si>
  <si>
    <t>**shinsei_NG1_NOTIFY_ID__STRUCTTUIKA_NOTIFT_DATE</t>
  </si>
  <si>
    <t>**shinsei_NG2_NOTIFY_ID__REPORT_DATE</t>
  </si>
  <si>
    <t>**shinsei_NG3_NOTIFY_ID__REPORT_DATE</t>
  </si>
  <si>
    <t>**shinsei_NGX_NOTIFY_ID__NOTIFY_NOTE</t>
  </si>
  <si>
    <t>ご担当者お名前</t>
  </si>
  <si>
    <t xml:space="preserve"> </t>
  </si>
  <si>
    <t>　　　　　　　　　 □近商　　□商業　　□準工　　□工専　　　□指定なし　　</t>
  </si>
  <si>
    <t>■用途地域　　□1低専　　□２低専　　□１中高　　□２中高　　□１種住　　□２種住　　□準住　　　</t>
  </si>
  <si>
    <t>■構造規模　□ＲＣ　　□ＳＲＣ　　□Ｓ　　□Ｗ　　□その他　　　　　　・地上　　　　階　　・地下　　　階　　</t>
  </si>
  <si>
    <t>■防火地域　　□防火　　□準防　　　□２２条</t>
  </si>
  <si>
    <t>連絡先お電話番号</t>
  </si>
  <si>
    <t>　・ご相談内容を以下にご記入下さい。</t>
  </si>
  <si>
    <t>事務所名</t>
  </si>
  <si>
    <t>■延べ面積　　　　　　　　㎡　　・耐火種別　　□耐火　□準耐火イ- １ ・ ２　□ ロ-１ ・ ２　　□その他</t>
  </si>
  <si>
    <t>・建築物規模等</t>
  </si>
  <si>
    <t>　　　　　</t>
  </si>
  <si>
    <t>　Ｑ：1）</t>
  </si>
  <si>
    <t>　Ｑ：２）</t>
  </si>
  <si>
    <t>　Ｑ：３）</t>
  </si>
  <si>
    <t>　Q：４）</t>
  </si>
  <si>
    <t>　〇下記該当する□にチエック、〇囲い等を記入して下さい。</t>
  </si>
  <si>
    <t>相談日　Ｈ２８　/　　   月　 　  　日</t>
  </si>
  <si>
    <t>（株） 近 確 機 構</t>
  </si>
  <si>
    <t>　ＴＥＬ ：　　　　　　　　　　　　　　　　　　　　ＦＡＸ ：</t>
  </si>
  <si>
    <r>
      <rPr>
        <b/>
        <sz val="16"/>
        <rFont val="ＭＳ Ｐゴシック"/>
        <family val="3"/>
      </rPr>
      <t>事前相談用紙</t>
    </r>
    <r>
      <rPr>
        <b/>
        <sz val="14"/>
        <rFont val="ＭＳ Ｐゴシック"/>
        <family val="3"/>
      </rPr>
      <t xml:space="preserve">  　　 </t>
    </r>
  </si>
  <si>
    <t>　　　　・下記欄にご相談物件の規模、内容等をご記入下さい。　　　　　　　　　　　　</t>
  </si>
  <si>
    <t xml:space="preserve">   　相談担当者：</t>
  </si>
  <si>
    <t>工事名称</t>
  </si>
  <si>
    <t>　Q：５）</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</si>
</sst>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m&quot;月&quot;dd&quot;日&quot;;@"/>
    <numFmt numFmtId="178" formatCode="[$-411]ggge&quot;年&quot;m&quot;月&quot;d&quot;日&quot;;@"/>
    <numFmt numFmtId="179" formatCode="yyyy/mm/dd"/>
    <numFmt numFmtId="180" formatCode="#,##0.00_ "/>
    <numFmt numFmtId="181" formatCode="[$-411]ggg&quot; &quot;ee&quot; 年 &quot;m&quot; 月 &quot;d&quot; 日&quot;;@"/>
    <numFmt numFmtId="182" formatCode="#,##0.000_ "/>
    <numFmt numFmtId="183" formatCode="0_ "/>
    <numFmt numFmtId="184" formatCode="#,##0_);[Red]\(#,##0\)"/>
    <numFmt numFmtId="185" formatCode="[$-411]ggge&quot;年&quot;mm&quot;月&quot;dd&quot;日 ( &quot;aaa&quot; )&quot;;@"/>
    <numFmt numFmtId="186" formatCode="[$-411]ggg&quot;　&quot;e&quot;　年　&quot;m&quot;　月　&quot;d&quot;　日&quot;"/>
    <numFmt numFmtId="187" formatCode="#,##0;[Red]#,##0"/>
    <numFmt numFmtId="188" formatCode="[$-411]ggge&quot;年&quot;mm&quot;月&quot;dd&quot;日 (&quot;aaa&quot;)&quot;;@"/>
    <numFmt numFmtId="189" formatCode="0000000"/>
  </numFmts>
  <fonts count="72">
    <font>
      <sz val="9"/>
      <name val="ＭＳ Ｐゴシック"/>
      <family val="3"/>
    </font>
    <font>
      <sz val="11"/>
      <color indexed="8"/>
      <name val="ＭＳ Ｐゴシック"/>
      <family val="3"/>
    </font>
    <font>
      <sz val="6"/>
      <name val="ＭＳ Ｐゴシック"/>
      <family val="3"/>
    </font>
    <font>
      <sz val="9"/>
      <color indexed="8"/>
      <name val="ＭＳ Ｐゴシック"/>
      <family val="3"/>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11"/>
      <name val="ＭＳ Ｐゴシック"/>
      <family val="3"/>
    </font>
    <font>
      <sz val="9"/>
      <color indexed="17"/>
      <name val="ＭＳ Ｐゴシック"/>
      <family val="3"/>
    </font>
    <font>
      <sz val="10"/>
      <name val="ＭＳ Ｐゴシック"/>
      <family val="3"/>
    </font>
    <font>
      <sz val="10"/>
      <name val="ＭＳ 明朝"/>
      <family val="1"/>
    </font>
    <font>
      <sz val="11"/>
      <name val="ＭＳ 明朝"/>
      <family val="1"/>
    </font>
    <font>
      <sz val="10"/>
      <color indexed="10"/>
      <name val="ＭＳ Ｐゴシック"/>
      <family val="3"/>
    </font>
    <font>
      <sz val="10"/>
      <color indexed="8"/>
      <name val="ＭＳ Ｐゴシック"/>
      <family val="3"/>
    </font>
    <font>
      <sz val="10"/>
      <color indexed="60"/>
      <name val="ＭＳ Ｐゴシック"/>
      <family val="3"/>
    </font>
    <font>
      <sz val="12"/>
      <name val="ＭＳ 明朝"/>
      <family val="1"/>
    </font>
    <font>
      <sz val="11"/>
      <color indexed="10"/>
      <name val="ＭＳ Ｐゴシック"/>
      <family val="3"/>
    </font>
    <font>
      <sz val="12"/>
      <name val="ＭＳ Ｐゴシック"/>
      <family val="3"/>
    </font>
    <font>
      <sz val="6"/>
      <name val="ＭＳ 明朝"/>
      <family val="1"/>
    </font>
    <font>
      <sz val="16"/>
      <name val="ＭＳ ゴシック"/>
      <family val="3"/>
    </font>
    <font>
      <b/>
      <sz val="11"/>
      <color indexed="10"/>
      <name val="ＭＳ Ｐゴシック"/>
      <family val="3"/>
    </font>
    <font>
      <b/>
      <sz val="12"/>
      <name val="ＭＳ 明朝"/>
      <family val="1"/>
    </font>
    <font>
      <sz val="11"/>
      <color indexed="10"/>
      <name val="ＭＳ 明朝"/>
      <family val="1"/>
    </font>
    <font>
      <sz val="8"/>
      <name val="ＭＳ Ｐゴシック"/>
      <family val="3"/>
    </font>
    <font>
      <b/>
      <sz val="10"/>
      <name val="ＭＳ Ｐゴシック"/>
      <family val="3"/>
    </font>
    <font>
      <b/>
      <sz val="14"/>
      <name val="ＭＳ Ｐゴシック"/>
      <family val="3"/>
    </font>
    <font>
      <sz val="14"/>
      <name val="ＭＳ Ｐゴシック"/>
      <family val="3"/>
    </font>
    <font>
      <b/>
      <sz val="11"/>
      <name val="ＭＳ Ｐゴシック"/>
      <family val="3"/>
    </font>
    <font>
      <sz val="14"/>
      <name val="ＭＳ 明朝"/>
      <family val="1"/>
    </font>
    <font>
      <b/>
      <sz val="10"/>
      <name val="ＭＳ 明朝"/>
      <family val="1"/>
    </font>
    <font>
      <b/>
      <sz val="9"/>
      <name val="ＭＳ 明朝"/>
      <family val="1"/>
    </font>
    <font>
      <sz val="11"/>
      <color indexed="8"/>
      <name val="ＭＳ 明朝"/>
      <family val="1"/>
    </font>
    <font>
      <b/>
      <sz val="10"/>
      <color indexed="8"/>
      <name val="ＭＳ 明朝"/>
      <family val="1"/>
    </font>
    <font>
      <sz val="10"/>
      <color indexed="10"/>
      <name val="ＭＳ 明朝"/>
      <family val="1"/>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ゴシック"/>
      <family val="3"/>
    </font>
    <font>
      <sz val="11"/>
      <color indexed="17"/>
      <name val="ＭＳ Ｐゴシック"/>
      <family val="3"/>
    </font>
    <font>
      <sz val="10"/>
      <color indexed="9"/>
      <name val="ＭＳ Ｐゴシック"/>
      <family val="3"/>
    </font>
    <font>
      <b/>
      <sz val="16"/>
      <name val="ＭＳ Ｐゴシック"/>
      <family val="3"/>
    </font>
    <font>
      <b/>
      <sz val="12"/>
      <name val="ＭＳ Ｐゴシック"/>
      <family val="3"/>
    </font>
    <font>
      <sz val="9"/>
      <name val="Meiryo UI"/>
      <family val="3"/>
    </font>
    <font>
      <u val="single"/>
      <sz val="9"/>
      <color indexed="12"/>
      <name val="ＭＳ Ｐゴシック"/>
      <family val="3"/>
    </font>
    <font>
      <u val="single"/>
      <sz val="9"/>
      <color theme="10"/>
      <name val="ＭＳ Ｐゴシック"/>
      <family val="3"/>
    </font>
    <font>
      <sz val="9"/>
      <color theme="1"/>
      <name val="ＭＳ Ｐゴシック"/>
      <family val="3"/>
    </font>
    <font>
      <sz val="11"/>
      <color theme="1"/>
      <name val="ＭＳ 明朝"/>
      <family val="1"/>
    </font>
    <font>
      <b/>
      <sz val="10"/>
      <color theme="1"/>
      <name val="ＭＳ 明朝"/>
      <family val="1"/>
    </font>
    <font>
      <sz val="11"/>
      <color theme="1"/>
      <name val="ＭＳ Ｐゴシック"/>
      <family val="3"/>
    </font>
    <font>
      <sz val="10"/>
      <color rgb="FFFF0000"/>
      <name val="ＭＳ 明朝"/>
      <family val="1"/>
    </font>
    <font>
      <sz val="9"/>
      <color theme="0"/>
      <name val="ＭＳ Ｐゴシック"/>
      <family val="3"/>
    </font>
    <font>
      <sz val="10"/>
      <color theme="0"/>
      <name val="ＭＳ Ｐゴシック"/>
      <family val="3"/>
    </font>
    <font>
      <sz val="10"/>
      <color theme="1"/>
      <name val="ＭＳ Ｐゴシック"/>
      <family val="3"/>
    </font>
  </fonts>
  <fills count="35">
    <fill>
      <patternFill/>
    </fill>
    <fill>
      <patternFill patternType="gray125"/>
    </fill>
    <fill>
      <patternFill patternType="solid">
        <fgColor indexed="31"/>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29"/>
        <bgColor indexed="64"/>
      </patternFill>
    </fill>
    <fill>
      <patternFill patternType="solid">
        <fgColor indexed="46"/>
        <bgColor indexed="64"/>
      </patternFill>
    </fill>
    <fill>
      <patternFill patternType="solid">
        <fgColor indexed="27"/>
        <bgColor indexed="64"/>
      </patternFill>
    </fill>
    <fill>
      <patternFill patternType="solid">
        <fgColor indexed="14"/>
        <bgColor indexed="64"/>
      </patternFill>
    </fill>
    <fill>
      <patternFill patternType="solid">
        <fgColor indexed="47"/>
        <bgColor indexed="64"/>
      </patternFill>
    </fill>
    <fill>
      <patternFill patternType="solid">
        <fgColor indexed="44"/>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
      <patternFill patternType="solid">
        <fgColor indexed="40"/>
        <bgColor indexed="64"/>
      </patternFill>
    </fill>
    <fill>
      <patternFill patternType="solid">
        <fgColor indexed="12"/>
        <bgColor indexed="64"/>
      </patternFill>
    </fill>
    <fill>
      <patternFill patternType="solid">
        <fgColor theme="0"/>
        <bgColor indexed="64"/>
      </patternFill>
    </fill>
    <fill>
      <patternFill patternType="solid">
        <fgColor rgb="FFCCFFCC"/>
        <bgColor indexed="64"/>
      </patternFill>
    </fill>
    <fill>
      <patternFill patternType="solid">
        <fgColor theme="6" tint="0.5999900102615356"/>
        <bgColor indexed="64"/>
      </patternFill>
    </fill>
    <fill>
      <patternFill patternType="solid">
        <fgColor rgb="FFFFFFCC"/>
        <bgColor indexed="64"/>
      </patternFill>
    </fill>
  </fills>
  <borders count="9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right/>
      <top style="thin">
        <color indexed="26"/>
      </top>
      <bottom style="double">
        <color indexed="26"/>
      </bottom>
    </border>
    <border>
      <left style="thin">
        <color indexed="63"/>
      </left>
      <right style="thin">
        <color indexed="63"/>
      </right>
      <top style="thin">
        <color indexed="63"/>
      </top>
      <bottom style="thin">
        <color indexed="63"/>
      </bottom>
    </border>
    <border>
      <left style="hair"/>
      <right/>
      <top style="hair"/>
      <bottom style="hair"/>
    </border>
    <border>
      <left/>
      <right/>
      <top style="hair"/>
      <bottom style="hair"/>
    </border>
    <border>
      <left/>
      <right style="hair"/>
      <top style="hair"/>
      <bottom style="hair"/>
    </border>
    <border>
      <left style="hair"/>
      <right style="hair"/>
      <top style="hair"/>
      <bottom style="hair"/>
    </border>
    <border>
      <left/>
      <right style="hair"/>
      <top/>
      <bottom style="hair"/>
    </border>
    <border>
      <left/>
      <right/>
      <top/>
      <bottom style="hair"/>
    </border>
    <border>
      <left style="hair"/>
      <right style="hair"/>
      <top/>
      <bottom style="hair"/>
    </border>
    <border>
      <left style="hair"/>
      <right/>
      <top/>
      <bottom style="hair"/>
    </border>
    <border>
      <left/>
      <right style="hair"/>
      <top/>
      <bottom/>
    </border>
    <border>
      <left style="hair"/>
      <right style="hair"/>
      <top/>
      <bottom/>
    </border>
    <border>
      <left style="hair"/>
      <right/>
      <top/>
      <bottom/>
    </border>
    <border>
      <left style="hair"/>
      <right/>
      <top style="hair"/>
      <bottom/>
    </border>
    <border>
      <left/>
      <right/>
      <top style="hair"/>
      <bottom/>
    </border>
    <border>
      <left style="hair"/>
      <right style="hair"/>
      <top style="hair"/>
      <bottom/>
    </border>
    <border>
      <left style="thin"/>
      <right/>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right style="hair"/>
      <top style="hair"/>
      <bottom/>
    </border>
    <border>
      <left/>
      <right style="thin"/>
      <top style="thin"/>
      <bottom/>
    </border>
    <border>
      <left/>
      <right style="thin"/>
      <top/>
      <bottom/>
    </border>
    <border>
      <left/>
      <right style="thin"/>
      <top/>
      <bottom style="thin"/>
    </border>
    <border>
      <left style="medium">
        <color indexed="11"/>
      </left>
      <right style="medium">
        <color indexed="11"/>
      </right>
      <top style="medium">
        <color indexed="11"/>
      </top>
      <bottom/>
    </border>
    <border>
      <left style="medium">
        <color indexed="11"/>
      </left>
      <right style="medium">
        <color indexed="11"/>
      </right>
      <top/>
      <bottom/>
    </border>
    <border>
      <left style="medium">
        <color indexed="11"/>
      </left>
      <right style="medium">
        <color indexed="11"/>
      </right>
      <top/>
      <bottom style="thin"/>
    </border>
    <border>
      <left style="medium">
        <color indexed="11"/>
      </left>
      <right style="medium">
        <color indexed="11"/>
      </right>
      <top style="thin"/>
      <bottom/>
    </border>
    <border>
      <left style="medium">
        <color indexed="11"/>
      </left>
      <right style="medium">
        <color indexed="11"/>
      </right>
      <top/>
      <bottom style="medium">
        <color indexed="11"/>
      </bottom>
    </border>
    <border>
      <left style="medium">
        <color indexed="12"/>
      </left>
      <right style="medium">
        <color indexed="12"/>
      </right>
      <top style="medium">
        <color indexed="12"/>
      </top>
      <bottom/>
    </border>
    <border>
      <left style="medium">
        <color indexed="12"/>
      </left>
      <right style="medium">
        <color indexed="12"/>
      </right>
      <top/>
      <bottom/>
    </border>
    <border>
      <left style="medium">
        <color indexed="12"/>
      </left>
      <right style="medium">
        <color indexed="12"/>
      </right>
      <top/>
      <bottom style="thin"/>
    </border>
    <border>
      <left style="medium">
        <color indexed="12"/>
      </left>
      <right style="medium">
        <color indexed="12"/>
      </right>
      <top style="thin"/>
      <bottom/>
    </border>
    <border>
      <left style="medium">
        <color indexed="12"/>
      </left>
      <right style="medium">
        <color indexed="12"/>
      </right>
      <top/>
      <bottom style="medium">
        <color indexed="12"/>
      </bottom>
    </border>
    <border>
      <left style="thin"/>
      <right/>
      <top/>
      <bottom/>
    </border>
    <border>
      <left style="medium"/>
      <right/>
      <top style="medium"/>
      <bottom/>
    </border>
    <border>
      <left style="thin"/>
      <right/>
      <top/>
      <bottom style="hair"/>
    </border>
    <border>
      <left/>
      <right style="thin"/>
      <top/>
      <bottom style="hair"/>
    </border>
    <border>
      <left/>
      <right style="thin"/>
      <top style="hair"/>
      <bottom style="hair"/>
    </border>
    <border>
      <left style="thin"/>
      <right style="thin"/>
      <top style="hair"/>
      <bottom style="thin"/>
    </border>
    <border>
      <left/>
      <right style="thin"/>
      <top style="hair"/>
      <bottom style="thin"/>
    </border>
    <border>
      <left style="thin"/>
      <right/>
      <top style="thin"/>
      <bottom/>
    </border>
    <border>
      <left/>
      <right/>
      <top style="thin"/>
      <bottom/>
    </border>
    <border>
      <left style="thin"/>
      <right/>
      <top/>
      <bottom style="thin"/>
    </border>
    <border>
      <left/>
      <right/>
      <top/>
      <bottom style="thin"/>
    </border>
    <border>
      <left style="thin"/>
      <right/>
      <top style="hair"/>
      <bottom style="thin"/>
    </border>
    <border>
      <left/>
      <right/>
      <top style="hair"/>
      <bottom style="thin"/>
    </border>
    <border>
      <left/>
      <right/>
      <top style="medium"/>
      <bottom/>
    </border>
    <border>
      <left/>
      <right style="medium"/>
      <top style="medium"/>
      <bottom/>
    </border>
    <border>
      <left style="double"/>
      <right/>
      <top style="double"/>
      <bottom/>
    </border>
    <border>
      <left/>
      <right/>
      <top style="double"/>
      <bottom/>
    </border>
    <border>
      <left/>
      <right style="double"/>
      <top style="double"/>
      <bottom/>
    </border>
    <border>
      <left/>
      <right style="thin"/>
      <top style="thin"/>
      <bottom style="thin"/>
    </border>
    <border>
      <left/>
      <right/>
      <top style="thin"/>
      <bottom style="thin"/>
    </border>
    <border>
      <left/>
      <right/>
      <top/>
      <bottom style="double"/>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medium"/>
      <bottom style="medium"/>
    </border>
    <border>
      <left/>
      <right/>
      <top style="double"/>
      <bottom style="thin"/>
    </border>
    <border>
      <left style="thin"/>
      <right/>
      <top style="thin"/>
      <bottom style="medium"/>
    </border>
    <border>
      <left/>
      <right/>
      <top style="thin"/>
      <bottom style="medium"/>
    </border>
    <border>
      <left/>
      <right/>
      <top style="double"/>
      <bottom style="hair"/>
    </border>
    <border>
      <left/>
      <right/>
      <top style="thin"/>
      <bottom style="double"/>
    </border>
    <border>
      <left/>
      <right/>
      <top style="medium"/>
      <bottom style="thin"/>
    </border>
    <border>
      <left/>
      <right/>
      <top style="double"/>
      <bottom style="double"/>
    </border>
    <border>
      <left/>
      <right style="thin"/>
      <top style="double"/>
      <bottom style="double"/>
    </border>
    <border>
      <left/>
      <right/>
      <top/>
      <bottom style="medium"/>
    </border>
    <border>
      <left style="thin"/>
      <right/>
      <top style="double"/>
      <bottom style="double"/>
    </border>
    <border>
      <left style="thin"/>
      <right/>
      <top style="medium"/>
      <bottom style="thin"/>
    </border>
    <border>
      <left style="medium"/>
      <right/>
      <top style="medium"/>
      <bottom style="medium"/>
    </border>
    <border>
      <left/>
      <right style="medium"/>
      <top style="medium"/>
      <bottom style="medium"/>
    </border>
    <border>
      <left/>
      <right style="thin"/>
      <top style="thin"/>
      <bottom style="double"/>
    </border>
    <border>
      <left style="double"/>
      <right/>
      <top/>
      <bottom style="double"/>
    </border>
    <border>
      <left/>
      <right style="double"/>
      <top/>
      <bottom style="double"/>
    </border>
    <border>
      <left style="thin"/>
      <right style="thin"/>
      <top/>
      <bottom style="hair"/>
    </border>
    <border>
      <left style="thin"/>
      <right style="thin"/>
      <top style="hair"/>
      <bottom style="hair"/>
    </border>
    <border>
      <left style="medium"/>
      <right/>
      <top/>
      <bottom style="medium"/>
    </border>
    <border>
      <left/>
      <right style="medium"/>
      <top/>
      <bottom style="medium"/>
    </border>
    <border diagonalUp="1">
      <left style="thin"/>
      <right/>
      <top style="thin"/>
      <bottom style="thin"/>
      <diagonal style="thin"/>
    </border>
    <border diagonalUp="1">
      <left/>
      <right style="thin"/>
      <top style="thin"/>
      <bottom style="thin"/>
      <diagonal style="thin"/>
    </border>
  </borders>
  <cellStyleXfs count="29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1"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1"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1" fillId="7"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1"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1" fillId="10"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1" fillId="6"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1"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1" fillId="7"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1" fillId="11"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1" fillId="1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4"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23" borderId="1" applyNumberFormat="0" applyAlignment="0" applyProtection="0"/>
    <xf numFmtId="0" fontId="47" fillId="23" borderId="1" applyNumberFormat="0" applyAlignment="0" applyProtection="0"/>
    <xf numFmtId="0" fontId="47" fillId="23" borderId="1" applyNumberFormat="0" applyAlignment="0" applyProtection="0"/>
    <xf numFmtId="0" fontId="47" fillId="23" borderId="1" applyNumberFormat="0" applyAlignment="0" applyProtection="0"/>
    <xf numFmtId="0" fontId="7"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3" fillId="0" borderId="0" applyNumberFormat="0" applyFill="0" applyBorder="0" applyAlignment="0" applyProtection="0"/>
    <xf numFmtId="0" fontId="3" fillId="12" borderId="2" applyNumberFormat="0" applyFont="0" applyAlignment="0" applyProtection="0"/>
    <xf numFmtId="0" fontId="1" fillId="12" borderId="2" applyNumberFormat="0" applyFont="0" applyAlignment="0" applyProtection="0"/>
    <xf numFmtId="0" fontId="1" fillId="12" borderId="2" applyNumberFormat="0" applyFont="0" applyAlignment="0" applyProtection="0"/>
    <xf numFmtId="0" fontId="1" fillId="12" borderId="2" applyNumberFormat="0" applyFont="0" applyAlignment="0" applyProtection="0"/>
    <xf numFmtId="0" fontId="8"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9"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10" fillId="25" borderId="4" applyNumberFormat="0" applyAlignment="0" applyProtection="0"/>
    <xf numFmtId="0" fontId="51" fillId="25" borderId="4" applyNumberFormat="0" applyAlignment="0" applyProtection="0"/>
    <xf numFmtId="0" fontId="51" fillId="25" borderId="4" applyNumberFormat="0" applyAlignment="0" applyProtection="0"/>
    <xf numFmtId="0" fontId="51" fillId="25" borderId="4" applyNumberFormat="0" applyAlignment="0" applyProtection="0"/>
    <xf numFmtId="0" fontId="1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8"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52" fillId="0" borderId="8"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6" fillId="25" borderId="10" applyNumberFormat="0" applyAlignment="0" applyProtection="0"/>
    <xf numFmtId="0" fontId="53" fillId="25" borderId="10" applyNumberFormat="0" applyAlignment="0" applyProtection="0"/>
    <xf numFmtId="0" fontId="53" fillId="25" borderId="10" applyNumberFormat="0" applyAlignment="0" applyProtection="0"/>
    <xf numFmtId="0" fontId="53" fillId="25" borderId="10" applyNumberFormat="0" applyAlignment="0" applyProtection="0"/>
    <xf numFmtId="0" fontId="17"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10" borderId="4" applyNumberFormat="0" applyAlignment="0" applyProtection="0"/>
    <xf numFmtId="0" fontId="55" fillId="10" borderId="4" applyNumberFormat="0" applyAlignment="0" applyProtection="0"/>
    <xf numFmtId="0" fontId="55" fillId="10" borderId="4" applyNumberFormat="0" applyAlignment="0" applyProtection="0"/>
    <xf numFmtId="0" fontId="55" fillId="10" borderId="4" applyNumberFormat="0" applyAlignment="0" applyProtection="0"/>
    <xf numFmtId="0" fontId="19" fillId="0" borderId="0">
      <alignment vertical="center"/>
      <protection/>
    </xf>
    <xf numFmtId="0" fontId="0" fillId="0" borderId="0">
      <alignment vertical="center"/>
      <protection/>
    </xf>
    <xf numFmtId="0" fontId="19" fillId="0" borderId="0">
      <alignment/>
      <protection/>
    </xf>
    <xf numFmtId="0" fontId="19" fillId="0" borderId="0">
      <alignment vertical="center"/>
      <protection/>
    </xf>
    <xf numFmtId="0" fontId="0" fillId="0" borderId="0">
      <alignment vertical="center"/>
      <protection/>
    </xf>
    <xf numFmtId="0" fontId="0" fillId="0" borderId="0">
      <alignment vertical="center"/>
      <protection/>
    </xf>
    <xf numFmtId="0" fontId="19"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1" fillId="0" borderId="0">
      <alignment vertical="center"/>
      <protection/>
    </xf>
    <xf numFmtId="0" fontId="1" fillId="0" borderId="0">
      <alignment vertical="center"/>
      <protection/>
    </xf>
    <xf numFmtId="0" fontId="19" fillId="0" borderId="0">
      <alignment vertical="center"/>
      <protection/>
    </xf>
    <xf numFmtId="0" fontId="0" fillId="0" borderId="0">
      <alignment vertical="center"/>
      <protection/>
    </xf>
    <xf numFmtId="0" fontId="19" fillId="0" borderId="0">
      <alignment vertical="center"/>
      <protection/>
    </xf>
    <xf numFmtId="0" fontId="19" fillId="0" borderId="0">
      <alignment/>
      <protection/>
    </xf>
    <xf numFmtId="0" fontId="19" fillId="0" borderId="0">
      <alignment vertical="center"/>
      <protection/>
    </xf>
    <xf numFmtId="0" fontId="19" fillId="0" borderId="0">
      <alignment/>
      <protection/>
    </xf>
    <xf numFmtId="0" fontId="0" fillId="0" borderId="0">
      <alignment vertical="center"/>
      <protection/>
    </xf>
    <xf numFmtId="0" fontId="1" fillId="0" borderId="0">
      <alignment vertical="center"/>
      <protection/>
    </xf>
    <xf numFmtId="0" fontId="19"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29" fillId="0" borderId="0">
      <alignment/>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56" fillId="0" borderId="0">
      <alignment vertical="center"/>
      <protection/>
    </xf>
    <xf numFmtId="0" fontId="64" fillId="0" borderId="0">
      <alignment vertical="center"/>
      <protection/>
    </xf>
    <xf numFmtId="0" fontId="20" fillId="5" borderId="0" applyNumberFormat="0" applyBorder="0" applyAlignment="0" applyProtection="0"/>
    <xf numFmtId="0" fontId="57" fillId="5" borderId="0" applyNumberFormat="0" applyBorder="0" applyAlignment="0" applyProtection="0"/>
    <xf numFmtId="0" fontId="57" fillId="5" borderId="0" applyNumberFormat="0" applyBorder="0" applyAlignment="0" applyProtection="0"/>
    <xf numFmtId="0" fontId="57" fillId="5" borderId="0" applyNumberFormat="0" applyBorder="0" applyAlignment="0" applyProtection="0"/>
  </cellStyleXfs>
  <cellXfs count="695">
    <xf numFmtId="0" fontId="0" fillId="0" borderId="0" xfId="0" applyAlignment="1">
      <alignment vertical="center"/>
    </xf>
    <xf numFmtId="189" fontId="21" fillId="13" borderId="0" xfId="0" applyNumberFormat="1" applyFont="1" applyFill="1" applyBorder="1" applyAlignment="1">
      <alignment horizontal="left" vertical="center"/>
    </xf>
    <xf numFmtId="189" fontId="21" fillId="5" borderId="0" xfId="0" applyNumberFormat="1" applyFont="1" applyFill="1" applyBorder="1" applyAlignment="1">
      <alignment horizontal="left" vertical="center"/>
    </xf>
    <xf numFmtId="49" fontId="21" fillId="0" borderId="0" xfId="0" applyNumberFormat="1" applyFont="1" applyFill="1" applyBorder="1" applyAlignment="1">
      <alignment horizontal="left" vertical="center" shrinkToFit="1"/>
    </xf>
    <xf numFmtId="0" fontId="21" fillId="0" borderId="0" xfId="0" applyNumberFormat="1" applyFont="1" applyBorder="1" applyAlignment="1">
      <alignment horizontal="left" vertical="center"/>
    </xf>
    <xf numFmtId="0" fontId="21" fillId="0" borderId="0" xfId="0" applyNumberFormat="1" applyFont="1" applyBorder="1" applyAlignment="1">
      <alignment horizontal="left" vertical="center" shrinkToFit="1"/>
    </xf>
    <xf numFmtId="181" fontId="21" fillId="0" borderId="0" xfId="0" applyNumberFormat="1" applyFont="1" applyBorder="1" applyAlignment="1">
      <alignment horizontal="left" vertical="center"/>
    </xf>
    <xf numFmtId="0" fontId="21" fillId="5" borderId="0" xfId="0" applyNumberFormat="1" applyFont="1" applyFill="1" applyBorder="1" applyAlignment="1">
      <alignment horizontal="left" vertical="center"/>
    </xf>
    <xf numFmtId="49" fontId="21" fillId="5" borderId="0" xfId="0" applyNumberFormat="1" applyFont="1" applyFill="1" applyBorder="1" applyAlignment="1">
      <alignment horizontal="left" vertical="center"/>
    </xf>
    <xf numFmtId="49" fontId="22" fillId="0" borderId="0" xfId="0" applyNumberFormat="1" applyFont="1" applyFill="1" applyBorder="1" applyAlignment="1" applyProtection="1">
      <alignment vertical="center"/>
      <protection/>
    </xf>
    <xf numFmtId="0" fontId="21" fillId="0" borderId="0" xfId="0" applyNumberFormat="1" applyFont="1" applyBorder="1" applyAlignment="1" quotePrefix="1">
      <alignment horizontal="left" vertical="center"/>
    </xf>
    <xf numFmtId="0" fontId="21" fillId="0" borderId="0" xfId="0" applyNumberFormat="1" applyFont="1" applyFill="1" applyBorder="1" applyAlignment="1" applyProtection="1">
      <alignment horizontal="left" vertical="center"/>
      <protection/>
    </xf>
    <xf numFmtId="0" fontId="21" fillId="0" borderId="0" xfId="0" applyNumberFormat="1" applyFont="1" applyFill="1" applyBorder="1" applyAlignment="1" applyProtection="1">
      <alignment vertical="center"/>
      <protection/>
    </xf>
    <xf numFmtId="49" fontId="21" fillId="0" borderId="0" xfId="0" applyNumberFormat="1" applyFont="1" applyFill="1" applyBorder="1" applyAlignment="1" applyProtection="1">
      <alignment vertical="center"/>
      <protection/>
    </xf>
    <xf numFmtId="49" fontId="21" fillId="5" borderId="0" xfId="0" applyNumberFormat="1" applyFont="1" applyFill="1" applyBorder="1" applyAlignment="1" applyProtection="1">
      <alignment vertical="center"/>
      <protection/>
    </xf>
    <xf numFmtId="0" fontId="21" fillId="0" borderId="0" xfId="0" applyFont="1" applyBorder="1" applyAlignment="1">
      <alignment horizontal="left" vertical="center"/>
    </xf>
    <xf numFmtId="0" fontId="21" fillId="8" borderId="0" xfId="0" applyNumberFormat="1" applyFont="1" applyFill="1" applyBorder="1" applyAlignment="1">
      <alignment horizontal="left" vertical="center"/>
    </xf>
    <xf numFmtId="0" fontId="21" fillId="5" borderId="0" xfId="0" applyNumberFormat="1" applyFont="1" applyFill="1" applyBorder="1" applyAlignment="1" applyProtection="1">
      <alignment vertical="center"/>
      <protection/>
    </xf>
    <xf numFmtId="0" fontId="21" fillId="8" borderId="0" xfId="0" applyNumberFormat="1" applyFont="1" applyFill="1" applyBorder="1" applyAlignment="1" applyProtection="1">
      <alignment vertical="center"/>
      <protection/>
    </xf>
    <xf numFmtId="176" fontId="21" fillId="8" borderId="0" xfId="0" applyNumberFormat="1" applyFont="1" applyFill="1" applyBorder="1" applyAlignment="1" applyProtection="1">
      <alignment vertical="center"/>
      <protection/>
    </xf>
    <xf numFmtId="0" fontId="21" fillId="13" borderId="0" xfId="0" applyNumberFormat="1" applyFont="1" applyFill="1" applyBorder="1" applyAlignment="1">
      <alignment horizontal="left" vertical="center"/>
    </xf>
    <xf numFmtId="179" fontId="21" fillId="8" borderId="0" xfId="0" applyNumberFormat="1" applyFont="1" applyFill="1" applyBorder="1" applyAlignment="1">
      <alignment horizontal="left" vertical="center"/>
    </xf>
    <xf numFmtId="179" fontId="21" fillId="13" borderId="0" xfId="0" applyNumberFormat="1" applyFont="1" applyFill="1" applyBorder="1" applyAlignment="1">
      <alignment horizontal="left" vertical="center"/>
    </xf>
    <xf numFmtId="0" fontId="21" fillId="0" borderId="0" xfId="0" applyFont="1" applyAlignment="1">
      <alignment vertical="center"/>
    </xf>
    <xf numFmtId="179" fontId="21" fillId="0" borderId="0" xfId="0" applyNumberFormat="1" applyFont="1" applyAlignment="1">
      <alignment vertical="center"/>
    </xf>
    <xf numFmtId="0" fontId="21" fillId="0" borderId="11" xfId="0" applyFont="1" applyBorder="1" applyAlignment="1">
      <alignment vertical="center"/>
    </xf>
    <xf numFmtId="0" fontId="21" fillId="0" borderId="12" xfId="0" applyFont="1" applyBorder="1" applyAlignment="1">
      <alignment vertical="center"/>
    </xf>
    <xf numFmtId="0" fontId="21" fillId="0" borderId="13" xfId="0" applyFont="1" applyBorder="1" applyAlignment="1">
      <alignment vertical="center"/>
    </xf>
    <xf numFmtId="0" fontId="21" fillId="0" borderId="14" xfId="0" applyFont="1" applyBorder="1" applyAlignment="1">
      <alignment vertical="center"/>
    </xf>
    <xf numFmtId="0" fontId="21" fillId="0" borderId="14" xfId="0" applyFont="1" applyBorder="1" applyAlignment="1">
      <alignment horizontal="center" vertical="center"/>
    </xf>
    <xf numFmtId="179" fontId="21" fillId="0" borderId="14" xfId="0" applyNumberFormat="1" applyFont="1" applyBorder="1" applyAlignment="1">
      <alignment vertical="center"/>
    </xf>
    <xf numFmtId="0" fontId="21" fillId="12" borderId="14" xfId="0" applyFont="1" applyFill="1" applyBorder="1" applyAlignment="1">
      <alignment horizontal="right" vertical="center"/>
    </xf>
    <xf numFmtId="0" fontId="21" fillId="13" borderId="14" xfId="0" applyFont="1" applyFill="1" applyBorder="1" applyAlignment="1">
      <alignment vertical="center"/>
    </xf>
    <xf numFmtId="0" fontId="21" fillId="13" borderId="14" xfId="0" applyFont="1" applyFill="1" applyBorder="1" applyAlignment="1">
      <alignment vertical="center" shrinkToFit="1"/>
    </xf>
    <xf numFmtId="0" fontId="21" fillId="0" borderId="0" xfId="0" applyFont="1" applyAlignment="1">
      <alignment horizontal="right" vertical="center"/>
    </xf>
    <xf numFmtId="179" fontId="21" fillId="0" borderId="14" xfId="0" applyNumberFormat="1" applyFont="1" applyFill="1" applyBorder="1" applyAlignment="1">
      <alignment vertical="center"/>
    </xf>
    <xf numFmtId="0" fontId="21" fillId="0" borderId="14" xfId="0" applyFont="1" applyFill="1" applyBorder="1" applyAlignment="1">
      <alignment vertical="center"/>
    </xf>
    <xf numFmtId="0" fontId="21" fillId="0" borderId="14" xfId="0" applyFont="1" applyFill="1" applyBorder="1" applyAlignment="1">
      <alignment vertical="center" shrinkToFit="1"/>
    </xf>
    <xf numFmtId="0" fontId="21" fillId="0" borderId="14" xfId="0" applyFont="1" applyBorder="1" applyAlignment="1">
      <alignment horizontal="right" vertical="center"/>
    </xf>
    <xf numFmtId="0" fontId="21" fillId="12" borderId="0" xfId="0" applyFont="1" applyFill="1" applyAlignment="1">
      <alignment vertical="center"/>
    </xf>
    <xf numFmtId="0" fontId="21" fillId="12" borderId="14" xfId="0" applyFont="1" applyFill="1" applyBorder="1" applyAlignment="1">
      <alignment vertical="center"/>
    </xf>
    <xf numFmtId="179" fontId="21" fillId="12" borderId="14" xfId="0" applyNumberFormat="1" applyFont="1" applyFill="1" applyBorder="1" applyAlignment="1">
      <alignment vertical="center"/>
    </xf>
    <xf numFmtId="0" fontId="21" fillId="0" borderId="14" xfId="0" applyFont="1" applyBorder="1" applyAlignment="1">
      <alignment vertical="center" shrinkToFit="1"/>
    </xf>
    <xf numFmtId="0" fontId="21" fillId="0" borderId="0" xfId="0" applyFont="1" applyFill="1" applyAlignment="1">
      <alignment vertical="center"/>
    </xf>
    <xf numFmtId="179" fontId="21" fillId="0" borderId="0" xfId="0" applyNumberFormat="1" applyFont="1" applyFill="1" applyAlignment="1">
      <alignment vertical="center"/>
    </xf>
    <xf numFmtId="177" fontId="21" fillId="13" borderId="0" xfId="0" applyNumberFormat="1" applyFont="1" applyFill="1" applyBorder="1" applyAlignment="1" applyProtection="1">
      <alignment vertical="center"/>
      <protection/>
    </xf>
    <xf numFmtId="0" fontId="21" fillId="26" borderId="0" xfId="0" applyNumberFormat="1" applyFont="1" applyFill="1" applyBorder="1" applyAlignment="1">
      <alignment horizontal="left" vertical="center"/>
    </xf>
    <xf numFmtId="176" fontId="21" fillId="13" borderId="0" xfId="0" applyNumberFormat="1" applyFont="1" applyFill="1" applyBorder="1" applyAlignment="1" applyProtection="1">
      <alignment vertical="center"/>
      <protection/>
    </xf>
    <xf numFmtId="176" fontId="21" fillId="5" borderId="0" xfId="0" applyNumberFormat="1" applyFont="1" applyFill="1" applyBorder="1" applyAlignment="1">
      <alignment horizontal="left" vertical="center"/>
    </xf>
    <xf numFmtId="49" fontId="21" fillId="0" borderId="0" xfId="0" applyNumberFormat="1" applyFont="1" applyBorder="1" applyAlignment="1">
      <alignment horizontal="left" vertical="center"/>
    </xf>
    <xf numFmtId="0" fontId="21" fillId="0" borderId="0" xfId="0" applyFont="1" applyFill="1" applyBorder="1" applyAlignment="1">
      <alignment horizontal="left" vertical="center"/>
    </xf>
    <xf numFmtId="49" fontId="21" fillId="13" borderId="0" xfId="0" applyNumberFormat="1" applyFont="1" applyFill="1" applyBorder="1" applyAlignment="1" applyProtection="1">
      <alignment vertical="center"/>
      <protection/>
    </xf>
    <xf numFmtId="49" fontId="21" fillId="0" borderId="0" xfId="0" applyNumberFormat="1" applyFont="1" applyFill="1" applyBorder="1" applyAlignment="1" applyProtection="1">
      <alignment horizontal="left" vertical="center"/>
      <protection/>
    </xf>
    <xf numFmtId="49" fontId="21" fillId="27" borderId="0" xfId="0" applyNumberFormat="1" applyFont="1" applyFill="1" applyBorder="1" applyAlignment="1" applyProtection="1">
      <alignment vertical="center"/>
      <protection/>
    </xf>
    <xf numFmtId="0" fontId="21" fillId="26" borderId="0" xfId="0" applyNumberFormat="1" applyFont="1" applyFill="1" applyBorder="1" applyAlignment="1" applyProtection="1">
      <alignment vertical="center"/>
      <protection/>
    </xf>
    <xf numFmtId="0" fontId="25" fillId="0" borderId="0" xfId="0" applyFont="1" applyBorder="1" applyAlignment="1">
      <alignment vertical="center"/>
    </xf>
    <xf numFmtId="0" fontId="21" fillId="13" borderId="0" xfId="0" applyNumberFormat="1" applyFont="1" applyFill="1" applyBorder="1" applyAlignment="1" applyProtection="1">
      <alignment vertical="center"/>
      <protection/>
    </xf>
    <xf numFmtId="0" fontId="21" fillId="26" borderId="0" xfId="0" applyNumberFormat="1" applyFont="1" applyFill="1" applyBorder="1" applyAlignment="1" applyProtection="1">
      <alignment horizontal="left" vertical="center"/>
      <protection/>
    </xf>
    <xf numFmtId="0" fontId="21" fillId="8" borderId="0" xfId="0" applyNumberFormat="1" applyFont="1" applyFill="1" applyBorder="1" applyAlignment="1" applyProtection="1">
      <alignment horizontal="left" vertical="center"/>
      <protection/>
    </xf>
    <xf numFmtId="49" fontId="21" fillId="13" borderId="0" xfId="0" applyNumberFormat="1" applyFont="1" applyFill="1" applyBorder="1" applyAlignment="1">
      <alignment horizontal="left" vertical="center"/>
    </xf>
    <xf numFmtId="49" fontId="21" fillId="0" borderId="0" xfId="0" applyNumberFormat="1" applyFont="1" applyFill="1" applyBorder="1" applyAlignment="1">
      <alignment horizontal="left" vertical="center"/>
    </xf>
    <xf numFmtId="0" fontId="21" fillId="0" borderId="0" xfId="0" applyNumberFormat="1" applyFont="1" applyFill="1" applyBorder="1" applyAlignment="1">
      <alignment horizontal="left" vertical="center"/>
    </xf>
    <xf numFmtId="0" fontId="21" fillId="13" borderId="0" xfId="0" applyNumberFormat="1" applyFont="1" applyFill="1" applyBorder="1" applyAlignment="1" applyProtection="1">
      <alignment horizontal="left" vertical="center"/>
      <protection/>
    </xf>
    <xf numFmtId="0" fontId="21" fillId="27" borderId="0" xfId="0" applyNumberFormat="1" applyFont="1" applyFill="1" applyBorder="1" applyAlignment="1" applyProtection="1">
      <alignment vertical="center"/>
      <protection/>
    </xf>
    <xf numFmtId="49" fontId="21" fillId="13" borderId="0" xfId="0" applyNumberFormat="1" applyFont="1" applyFill="1" applyBorder="1" applyAlignment="1" applyProtection="1">
      <alignment horizontal="left" vertical="center"/>
      <protection/>
    </xf>
    <xf numFmtId="0" fontId="0" fillId="0" borderId="0" xfId="0" applyBorder="1" applyAlignment="1">
      <alignment vertical="center"/>
    </xf>
    <xf numFmtId="0" fontId="0" fillId="8" borderId="0" xfId="0" applyFill="1" applyBorder="1" applyAlignment="1">
      <alignment vertical="center"/>
    </xf>
    <xf numFmtId="0" fontId="0" fillId="0" borderId="0" xfId="0" applyFill="1" applyBorder="1" applyAlignment="1">
      <alignment vertical="center"/>
    </xf>
    <xf numFmtId="49" fontId="21" fillId="5" borderId="0" xfId="0" applyNumberFormat="1" applyFont="1" applyFill="1" applyBorder="1" applyAlignment="1" applyProtection="1">
      <alignment horizontal="left" vertical="center"/>
      <protection/>
    </xf>
    <xf numFmtId="0" fontId="21"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vertical="center"/>
      <protection/>
    </xf>
    <xf numFmtId="49" fontId="21" fillId="8" borderId="0" xfId="0" applyNumberFormat="1" applyFont="1" applyFill="1" applyBorder="1" applyAlignment="1" applyProtection="1">
      <alignment vertical="center"/>
      <protection/>
    </xf>
    <xf numFmtId="0" fontId="21" fillId="8" borderId="0" xfId="0" applyFont="1" applyFill="1" applyBorder="1" applyAlignment="1">
      <alignment horizontal="left" vertical="center"/>
    </xf>
    <xf numFmtId="0" fontId="21" fillId="0" borderId="0" xfId="0" applyFont="1" applyBorder="1" applyAlignment="1">
      <alignment horizontal="left" vertical="top"/>
    </xf>
    <xf numFmtId="49" fontId="21" fillId="0" borderId="0" xfId="0" applyNumberFormat="1" applyFont="1" applyBorder="1" applyAlignment="1">
      <alignment horizontal="left" vertical="top"/>
    </xf>
    <xf numFmtId="0" fontId="21" fillId="0" borderId="0" xfId="0" applyFont="1" applyFill="1" applyBorder="1" applyAlignment="1">
      <alignment horizontal="left" vertical="top"/>
    </xf>
    <xf numFmtId="0" fontId="21" fillId="0" borderId="0" xfId="0" applyFont="1" applyFill="1" applyBorder="1" applyAlignment="1">
      <alignment horizontal="left" vertical="top" wrapText="1"/>
    </xf>
    <xf numFmtId="0" fontId="21" fillId="0" borderId="0" xfId="0" applyNumberFormat="1" applyFont="1" applyBorder="1" applyAlignment="1">
      <alignment horizontal="left" vertical="top" shrinkToFit="1"/>
    </xf>
    <xf numFmtId="180" fontId="21" fillId="5" borderId="0" xfId="0" applyNumberFormat="1" applyFont="1" applyFill="1" applyBorder="1" applyAlignment="1" applyProtection="1">
      <alignment vertical="center"/>
      <protection/>
    </xf>
    <xf numFmtId="180" fontId="21" fillId="8" borderId="0" xfId="0" applyNumberFormat="1" applyFont="1" applyFill="1" applyBorder="1" applyAlignment="1">
      <alignment horizontal="left" vertical="center"/>
    </xf>
    <xf numFmtId="0" fontId="21" fillId="0" borderId="0" xfId="0" applyNumberFormat="1" applyFont="1" applyFill="1" applyBorder="1" applyAlignment="1" applyProtection="1">
      <alignment horizontal="left" vertical="center" shrinkToFit="1"/>
      <protection/>
    </xf>
    <xf numFmtId="14" fontId="21" fillId="5" borderId="0" xfId="0" applyNumberFormat="1" applyFont="1" applyFill="1" applyBorder="1" applyAlignment="1" applyProtection="1">
      <alignment vertical="center"/>
      <protection/>
    </xf>
    <xf numFmtId="177" fontId="21" fillId="8" borderId="0" xfId="0" applyNumberFormat="1" applyFont="1" applyFill="1" applyBorder="1" applyAlignment="1">
      <alignment horizontal="left" vertical="center"/>
    </xf>
    <xf numFmtId="177" fontId="21" fillId="13" borderId="0" xfId="0" applyNumberFormat="1" applyFont="1" applyFill="1" applyBorder="1" applyAlignment="1">
      <alignment horizontal="left" vertical="center"/>
    </xf>
    <xf numFmtId="0" fontId="25" fillId="0" borderId="0" xfId="0" applyFont="1" applyBorder="1" applyAlignment="1">
      <alignment horizontal="center" vertical="center"/>
    </xf>
    <xf numFmtId="177" fontId="21" fillId="8" borderId="0" xfId="0" applyNumberFormat="1" applyFont="1" applyFill="1" applyBorder="1" applyAlignment="1" applyProtection="1">
      <alignment vertical="center"/>
      <protection/>
    </xf>
    <xf numFmtId="49" fontId="25" fillId="0" borderId="0" xfId="0" applyNumberFormat="1" applyFont="1" applyBorder="1" applyAlignment="1">
      <alignment vertical="center"/>
    </xf>
    <xf numFmtId="182" fontId="21" fillId="8" borderId="0" xfId="0" applyNumberFormat="1" applyFont="1" applyFill="1" applyBorder="1" applyAlignment="1" applyProtection="1">
      <alignment vertical="center"/>
      <protection/>
    </xf>
    <xf numFmtId="0" fontId="21" fillId="5" borderId="0" xfId="0" applyNumberFormat="1" applyFont="1" applyFill="1" applyBorder="1" applyAlignment="1" applyProtection="1">
      <alignment horizontal="left" vertical="center"/>
      <protection/>
    </xf>
    <xf numFmtId="180" fontId="21" fillId="8" borderId="0" xfId="0" applyNumberFormat="1" applyFont="1" applyFill="1" applyBorder="1" applyAlignment="1" applyProtection="1">
      <alignment vertical="center"/>
      <protection/>
    </xf>
    <xf numFmtId="177" fontId="21" fillId="8" borderId="0" xfId="0" applyNumberFormat="1" applyFont="1" applyFill="1" applyBorder="1" applyAlignment="1" applyProtection="1">
      <alignment horizontal="left" vertical="center"/>
      <protection/>
    </xf>
    <xf numFmtId="14" fontId="21" fillId="13" borderId="0" xfId="0" applyNumberFormat="1" applyFont="1" applyFill="1" applyBorder="1" applyAlignment="1" applyProtection="1">
      <alignment vertical="center"/>
      <protection/>
    </xf>
    <xf numFmtId="176" fontId="21" fillId="5" borderId="0" xfId="0" applyNumberFormat="1" applyFont="1" applyFill="1" applyBorder="1" applyAlignment="1" applyProtection="1">
      <alignment vertical="center"/>
      <protection/>
    </xf>
    <xf numFmtId="183" fontId="21" fillId="0" borderId="0" xfId="0" applyNumberFormat="1" applyFont="1" applyFill="1" applyBorder="1" applyAlignment="1">
      <alignment horizontal="left" vertical="center"/>
    </xf>
    <xf numFmtId="177" fontId="21" fillId="0" borderId="0" xfId="0" applyNumberFormat="1" applyFont="1" applyFill="1" applyBorder="1" applyAlignment="1" applyProtection="1">
      <alignment vertical="center"/>
      <protection/>
    </xf>
    <xf numFmtId="0" fontId="21" fillId="13" borderId="0" xfId="0" applyNumberFormat="1" applyFont="1" applyFill="1" applyBorder="1" applyAlignment="1">
      <alignment vertical="center"/>
    </xf>
    <xf numFmtId="179" fontId="21" fillId="5" borderId="0" xfId="0" applyNumberFormat="1" applyFont="1" applyFill="1" applyBorder="1" applyAlignment="1" applyProtection="1">
      <alignment vertical="center"/>
      <protection/>
    </xf>
    <xf numFmtId="179" fontId="21" fillId="8" borderId="0" xfId="0" applyNumberFormat="1" applyFont="1" applyFill="1" applyBorder="1" applyAlignment="1" applyProtection="1">
      <alignment vertical="center"/>
      <protection/>
    </xf>
    <xf numFmtId="0" fontId="21" fillId="28" borderId="0" xfId="0" applyNumberFormat="1" applyFont="1" applyFill="1" applyBorder="1" applyAlignment="1" applyProtection="1">
      <alignment vertical="center"/>
      <protection/>
    </xf>
    <xf numFmtId="0" fontId="21" fillId="13" borderId="0" xfId="0" applyNumberFormat="1" applyFont="1" applyFill="1" applyBorder="1" applyAlignment="1">
      <alignment horizontal="left" vertical="center" shrinkToFit="1"/>
    </xf>
    <xf numFmtId="0" fontId="0" fillId="4" borderId="0" xfId="0" applyNumberFormat="1" applyFont="1" applyFill="1" applyBorder="1" applyAlignment="1">
      <alignment horizontal="left" vertical="center"/>
    </xf>
    <xf numFmtId="0" fontId="21" fillId="0" borderId="0" xfId="0" applyNumberFormat="1" applyFont="1" applyFill="1" applyBorder="1" applyAlignment="1" applyProtection="1">
      <alignment horizontal="center" vertical="center"/>
      <protection/>
    </xf>
    <xf numFmtId="0" fontId="21" fillId="0" borderId="0" xfId="0" applyNumberFormat="1" applyFont="1" applyAlignment="1" applyProtection="1">
      <alignment horizontal="left" vertical="center"/>
      <protection/>
    </xf>
    <xf numFmtId="0" fontId="21" fillId="0" borderId="0" xfId="0" applyNumberFormat="1" applyFont="1" applyFill="1" applyAlignment="1" applyProtection="1">
      <alignment horizontal="left" vertical="center"/>
      <protection/>
    </xf>
    <xf numFmtId="0" fontId="21" fillId="0" borderId="0" xfId="0" applyNumberFormat="1" applyFont="1" applyFill="1" applyAlignment="1" applyProtection="1">
      <alignment horizontal="left" vertical="center" shrinkToFit="1"/>
      <protection/>
    </xf>
    <xf numFmtId="0" fontId="21" fillId="0" borderId="14" xfId="0" applyNumberFormat="1" applyFont="1" applyFill="1" applyBorder="1" applyAlignment="1" applyProtection="1">
      <alignment vertical="center"/>
      <protection/>
    </xf>
    <xf numFmtId="0" fontId="25" fillId="13" borderId="14" xfId="0" applyNumberFormat="1" applyFont="1" applyFill="1" applyBorder="1" applyAlignment="1" applyProtection="1">
      <alignment vertical="center" wrapText="1"/>
      <protection/>
    </xf>
    <xf numFmtId="0" fontId="25" fillId="0" borderId="0" xfId="0" applyNumberFormat="1" applyFont="1" applyFill="1" applyAlignment="1" applyProtection="1">
      <alignment horizontal="left" vertical="center"/>
      <protection/>
    </xf>
    <xf numFmtId="0" fontId="21" fillId="0" borderId="0" xfId="0" applyNumberFormat="1" applyFont="1" applyFill="1" applyAlignment="1" applyProtection="1">
      <alignment horizontal="left" vertical="center" wrapText="1"/>
      <protection/>
    </xf>
    <xf numFmtId="0" fontId="25" fillId="0" borderId="0" xfId="0" applyNumberFormat="1" applyFont="1" applyFill="1" applyAlignment="1" applyProtection="1">
      <alignment horizontal="left" vertical="center" wrapText="1"/>
      <protection/>
    </xf>
    <xf numFmtId="0" fontId="21" fillId="0" borderId="14" xfId="0" applyNumberFormat="1" applyFont="1" applyBorder="1" applyAlignment="1" applyProtection="1">
      <alignment vertical="center" wrapText="1"/>
      <protection/>
    </xf>
    <xf numFmtId="0" fontId="24" fillId="0" borderId="14" xfId="0" applyNumberFormat="1" applyFont="1" applyBorder="1" applyAlignment="1" applyProtection="1">
      <alignment vertical="center"/>
      <protection/>
    </xf>
    <xf numFmtId="0" fontId="26" fillId="0" borderId="0" xfId="0" applyNumberFormat="1" applyFont="1" applyAlignment="1" applyProtection="1">
      <alignment horizontal="left" vertical="center"/>
      <protection/>
    </xf>
    <xf numFmtId="0" fontId="21" fillId="0" borderId="0" xfId="0" applyNumberFormat="1" applyFont="1" applyAlignment="1" applyProtection="1">
      <alignment horizontal="left" vertical="center" wrapText="1"/>
      <protection/>
    </xf>
    <xf numFmtId="0" fontId="21" fillId="0" borderId="14" xfId="0" applyNumberFormat="1" applyFont="1" applyBorder="1" applyAlignment="1" applyProtection="1">
      <alignment vertical="center"/>
      <protection/>
    </xf>
    <xf numFmtId="0" fontId="21" fillId="13" borderId="14" xfId="0" applyNumberFormat="1" applyFont="1" applyFill="1" applyBorder="1" applyAlignment="1" applyProtection="1">
      <alignment vertical="center" wrapText="1"/>
      <protection/>
    </xf>
    <xf numFmtId="0" fontId="25" fillId="0" borderId="0" xfId="0" applyFont="1" applyAlignment="1">
      <alignment horizontal="left" vertical="center"/>
    </xf>
    <xf numFmtId="0" fontId="21" fillId="0" borderId="15" xfId="0" applyNumberFormat="1" applyFont="1" applyBorder="1" applyAlignment="1">
      <alignment horizontal="left" vertical="center"/>
    </xf>
    <xf numFmtId="0" fontId="21" fillId="0" borderId="16" xfId="0" applyNumberFormat="1" applyFont="1" applyBorder="1" applyAlignment="1">
      <alignment horizontal="left" vertical="center"/>
    </xf>
    <xf numFmtId="0" fontId="21" fillId="0" borderId="17" xfId="0" applyNumberFormat="1" applyFont="1" applyBorder="1" applyAlignment="1">
      <alignment horizontal="left" vertical="center"/>
    </xf>
    <xf numFmtId="0" fontId="21" fillId="12" borderId="18" xfId="0" applyNumberFormat="1" applyFont="1" applyFill="1" applyBorder="1" applyAlignment="1">
      <alignment horizontal="left" vertical="center"/>
    </xf>
    <xf numFmtId="0" fontId="21" fillId="0" borderId="19" xfId="0" applyNumberFormat="1" applyFont="1" applyFill="1" applyBorder="1" applyAlignment="1" applyProtection="1">
      <alignment vertical="center"/>
      <protection/>
    </xf>
    <xf numFmtId="0" fontId="21" fillId="0" borderId="20" xfId="0" applyNumberFormat="1" applyFont="1" applyFill="1" applyBorder="1" applyAlignment="1" applyProtection="1">
      <alignment horizontal="left" vertical="center"/>
      <protection/>
    </xf>
    <xf numFmtId="0" fontId="21" fillId="12" borderId="21" xfId="0" applyNumberFormat="1" applyFont="1" applyFill="1" applyBorder="1" applyAlignment="1">
      <alignment horizontal="left" vertical="center"/>
    </xf>
    <xf numFmtId="0" fontId="21" fillId="0" borderId="19" xfId="0" applyNumberFormat="1" applyFont="1" applyBorder="1" applyAlignment="1">
      <alignment horizontal="left" vertical="center"/>
    </xf>
    <xf numFmtId="0" fontId="21" fillId="0" borderId="20" xfId="0" applyNumberFormat="1" applyFont="1" applyBorder="1" applyAlignment="1">
      <alignment horizontal="left" vertical="center"/>
    </xf>
    <xf numFmtId="0" fontId="21" fillId="0" borderId="13" xfId="0" applyNumberFormat="1" applyFont="1" applyFill="1" applyBorder="1" applyAlignment="1">
      <alignment horizontal="left" vertical="center"/>
    </xf>
    <xf numFmtId="0" fontId="21" fillId="0" borderId="12" xfId="0" applyNumberFormat="1" applyFont="1" applyFill="1" applyBorder="1" applyAlignment="1">
      <alignment horizontal="left" vertical="center"/>
    </xf>
    <xf numFmtId="0" fontId="21" fillId="12" borderId="14" xfId="0" applyNumberFormat="1" applyFont="1" applyFill="1" applyBorder="1" applyAlignment="1">
      <alignment horizontal="left" vertical="center"/>
    </xf>
    <xf numFmtId="0" fontId="21" fillId="0" borderId="11" xfId="0" applyNumberFormat="1" applyFont="1" applyFill="1" applyBorder="1" applyAlignment="1">
      <alignment horizontal="left" vertical="center"/>
    </xf>
    <xf numFmtId="0" fontId="21" fillId="12" borderId="0" xfId="0" applyNumberFormat="1" applyFont="1" applyFill="1" applyBorder="1" applyAlignment="1">
      <alignment horizontal="left" vertical="center"/>
    </xf>
    <xf numFmtId="177" fontId="21" fillId="13" borderId="0" xfId="0" applyNumberFormat="1" applyFont="1" applyFill="1" applyBorder="1" applyAlignment="1" applyProtection="1">
      <alignment horizontal="left" vertical="center"/>
      <protection/>
    </xf>
    <xf numFmtId="0" fontId="21" fillId="0" borderId="0" xfId="0" applyFont="1" applyFill="1" applyBorder="1" applyAlignment="1">
      <alignment vertical="center"/>
    </xf>
    <xf numFmtId="49" fontId="21" fillId="0" borderId="0" xfId="0" applyNumberFormat="1" applyFont="1" applyFill="1" applyBorder="1" applyAlignment="1">
      <alignment horizontal="left" vertical="top"/>
    </xf>
    <xf numFmtId="179" fontId="21" fillId="27" borderId="0" xfId="0" applyNumberFormat="1" applyFont="1" applyFill="1" applyBorder="1" applyAlignment="1">
      <alignment horizontal="left" vertical="center"/>
    </xf>
    <xf numFmtId="0" fontId="21" fillId="27" borderId="0" xfId="0" applyNumberFormat="1" applyFont="1" applyFill="1" applyBorder="1" applyAlignment="1">
      <alignment horizontal="left" vertical="center"/>
    </xf>
    <xf numFmtId="0" fontId="21" fillId="4" borderId="0" xfId="0" applyNumberFormat="1" applyFont="1" applyFill="1" applyBorder="1" applyAlignment="1">
      <alignment horizontal="left" vertical="top"/>
    </xf>
    <xf numFmtId="0" fontId="0" fillId="27" borderId="0" xfId="0" applyFill="1" applyAlignment="1">
      <alignment vertical="center"/>
    </xf>
    <xf numFmtId="0" fontId="21" fillId="4" borderId="0" xfId="0" applyNumberFormat="1" applyFont="1" applyFill="1" applyBorder="1" applyAlignment="1">
      <alignment horizontal="left" vertical="center"/>
    </xf>
    <xf numFmtId="0" fontId="21" fillId="0" borderId="11" xfId="0" applyNumberFormat="1" applyFont="1" applyBorder="1" applyAlignment="1">
      <alignment horizontal="left" vertical="center"/>
    </xf>
    <xf numFmtId="0" fontId="21" fillId="0" borderId="12" xfId="0" applyNumberFormat="1" applyFont="1" applyBorder="1" applyAlignment="1">
      <alignment horizontal="left" vertical="center"/>
    </xf>
    <xf numFmtId="0" fontId="21" fillId="0" borderId="13" xfId="0" applyNumberFormat="1" applyFont="1" applyBorder="1" applyAlignment="1">
      <alignment horizontal="left" vertical="center"/>
    </xf>
    <xf numFmtId="49" fontId="21" fillId="12" borderId="14" xfId="0" applyNumberFormat="1" applyFont="1" applyFill="1" applyBorder="1" applyAlignment="1" applyProtection="1">
      <alignment horizontal="left" vertical="center"/>
      <protection/>
    </xf>
    <xf numFmtId="0" fontId="21" fillId="0" borderId="14" xfId="0" applyNumberFormat="1" applyFont="1" applyFill="1" applyBorder="1" applyAlignment="1" applyProtection="1">
      <alignment horizontal="left" vertical="center"/>
      <protection/>
    </xf>
    <xf numFmtId="0" fontId="21" fillId="0" borderId="22" xfId="0" applyNumberFormat="1" applyFont="1" applyFill="1" applyBorder="1" applyAlignment="1" applyProtection="1">
      <alignment horizontal="left" vertical="center"/>
      <protection/>
    </xf>
    <xf numFmtId="0" fontId="21" fillId="0" borderId="23" xfId="0" applyNumberFormat="1" applyFont="1" applyBorder="1" applyAlignment="1">
      <alignment horizontal="left" vertical="center"/>
    </xf>
    <xf numFmtId="0" fontId="21" fillId="4" borderId="24" xfId="0" applyNumberFormat="1" applyFont="1" applyFill="1" applyBorder="1" applyAlignment="1" applyProtection="1">
      <alignment horizontal="left" vertical="center"/>
      <protection/>
    </xf>
    <xf numFmtId="0" fontId="21" fillId="0" borderId="21" xfId="0" applyNumberFormat="1" applyFont="1" applyFill="1" applyBorder="1" applyAlignment="1" applyProtection="1">
      <alignment horizontal="left" vertical="center"/>
      <protection/>
    </xf>
    <xf numFmtId="0" fontId="21" fillId="4" borderId="20" xfId="0" applyNumberFormat="1" applyFont="1" applyFill="1" applyBorder="1" applyAlignment="1" applyProtection="1">
      <alignment horizontal="left" vertical="center"/>
      <protection/>
    </xf>
    <xf numFmtId="0" fontId="21" fillId="0" borderId="18" xfId="0" applyNumberFormat="1" applyFont="1" applyFill="1" applyBorder="1" applyAlignment="1" applyProtection="1">
      <alignment horizontal="left" vertical="center"/>
      <protection/>
    </xf>
    <xf numFmtId="0" fontId="21" fillId="4" borderId="17" xfId="0" applyNumberFormat="1" applyFont="1" applyFill="1" applyBorder="1" applyAlignment="1" applyProtection="1">
      <alignment horizontal="left" vertical="center"/>
      <protection/>
    </xf>
    <xf numFmtId="49" fontId="21" fillId="11" borderId="0" xfId="0" applyNumberFormat="1" applyFont="1" applyFill="1" applyBorder="1" applyAlignment="1" applyProtection="1">
      <alignment vertical="center"/>
      <protection/>
    </xf>
    <xf numFmtId="0" fontId="21" fillId="8" borderId="0" xfId="0" applyNumberFormat="1" applyFont="1" applyFill="1" applyBorder="1" applyAlignment="1" applyProtection="1">
      <alignment horizontal="left" vertical="center" shrinkToFit="1"/>
      <protection/>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13" borderId="0" xfId="0" applyFill="1" applyBorder="1" applyAlignment="1">
      <alignment vertical="center"/>
    </xf>
    <xf numFmtId="0" fontId="0" fillId="4" borderId="0" xfId="0" applyFill="1" applyBorder="1" applyAlignment="1">
      <alignment vertical="center"/>
    </xf>
    <xf numFmtId="0" fontId="0" fillId="4" borderId="0" xfId="0" applyFill="1" applyBorder="1" applyAlignment="1">
      <alignment horizontal="left" vertical="center"/>
    </xf>
    <xf numFmtId="180" fontId="0" fillId="0" borderId="0" xfId="0" applyNumberFormat="1" applyBorder="1" applyAlignment="1">
      <alignment horizontal="left" vertical="center"/>
    </xf>
    <xf numFmtId="0" fontId="0" fillId="0" borderId="0" xfId="0" applyAlignment="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12" borderId="25" xfId="0" applyFill="1" applyBorder="1" applyAlignment="1">
      <alignment vertical="center"/>
    </xf>
    <xf numFmtId="0" fontId="0" fillId="0" borderId="26" xfId="0" applyBorder="1" applyAlignment="1">
      <alignment vertical="center"/>
    </xf>
    <xf numFmtId="0" fontId="0" fillId="0" borderId="0" xfId="0" applyFont="1" applyAlignment="1">
      <alignment vertical="center"/>
    </xf>
    <xf numFmtId="0" fontId="0" fillId="0" borderId="25" xfId="0" applyBorder="1" applyAlignment="1">
      <alignment vertical="center"/>
    </xf>
    <xf numFmtId="0" fontId="0" fillId="0" borderId="27" xfId="0" applyBorder="1" applyAlignment="1">
      <alignment vertical="center"/>
    </xf>
    <xf numFmtId="0" fontId="0" fillId="12" borderId="0" xfId="0" applyFill="1" applyAlignment="1">
      <alignment vertical="center"/>
    </xf>
    <xf numFmtId="0" fontId="0" fillId="0" borderId="0" xfId="0" applyFont="1" applyBorder="1" applyAlignment="1">
      <alignment vertical="center"/>
    </xf>
    <xf numFmtId="0" fontId="0" fillId="13" borderId="0" xfId="0" applyFill="1" applyBorder="1" applyAlignment="1">
      <alignment horizontal="center" vertical="center"/>
    </xf>
    <xf numFmtId="0" fontId="0" fillId="0" borderId="0" xfId="0" applyFont="1" applyBorder="1" applyAlignment="1">
      <alignment vertical="center"/>
    </xf>
    <xf numFmtId="0" fontId="0" fillId="8" borderId="0" xfId="0" applyFill="1" applyBorder="1" applyAlignment="1">
      <alignment horizontal="center" vertical="center"/>
    </xf>
    <xf numFmtId="0" fontId="0" fillId="0" borderId="0" xfId="0" applyFont="1" applyFill="1" applyBorder="1" applyAlignment="1">
      <alignment vertical="center"/>
    </xf>
    <xf numFmtId="0" fontId="0" fillId="0" borderId="0" xfId="0" applyFill="1" applyBorder="1" applyAlignment="1">
      <alignment horizontal="center" vertical="center"/>
    </xf>
    <xf numFmtId="0" fontId="0" fillId="13" borderId="0" xfId="0" applyFill="1" applyBorder="1" applyAlignment="1">
      <alignment horizontal="left" vertical="center"/>
    </xf>
    <xf numFmtId="0" fontId="0" fillId="13" borderId="0" xfId="0" applyFill="1" applyBorder="1" applyAlignment="1">
      <alignment vertical="center"/>
    </xf>
    <xf numFmtId="0" fontId="0" fillId="0" borderId="0" xfId="0" applyFont="1" applyAlignment="1">
      <alignment vertical="center" wrapText="1"/>
    </xf>
    <xf numFmtId="0" fontId="0" fillId="0" borderId="0" xfId="0" applyAlignment="1">
      <alignment vertical="center" wrapText="1"/>
    </xf>
    <xf numFmtId="0" fontId="0" fillId="0" borderId="28" xfId="0" applyBorder="1" applyAlignment="1">
      <alignment vertical="center"/>
    </xf>
    <xf numFmtId="0" fontId="0" fillId="0" borderId="29" xfId="0" applyBorder="1" applyAlignment="1">
      <alignment horizontal="center" vertical="center"/>
    </xf>
    <xf numFmtId="0" fontId="0" fillId="12" borderId="28" xfId="0" applyFill="1" applyBorder="1" applyAlignment="1">
      <alignment horizontal="center" vertical="center"/>
    </xf>
    <xf numFmtId="0" fontId="0" fillId="0" borderId="30" xfId="0" applyBorder="1" applyAlignment="1">
      <alignment vertical="center"/>
    </xf>
    <xf numFmtId="0" fontId="0" fillId="0" borderId="28" xfId="0" applyBorder="1" applyAlignment="1">
      <alignment horizontal="center" vertical="center"/>
    </xf>
    <xf numFmtId="0" fontId="0" fillId="12" borderId="31" xfId="0" applyFill="1" applyBorder="1" applyAlignment="1">
      <alignment vertical="center"/>
    </xf>
    <xf numFmtId="0" fontId="0" fillId="0" borderId="0" xfId="0" applyBorder="1" applyAlignment="1">
      <alignment horizontal="left" vertical="center"/>
    </xf>
    <xf numFmtId="0" fontId="0" fillId="5" borderId="0" xfId="0" applyFill="1" applyAlignment="1">
      <alignment horizontal="center" vertical="center"/>
    </xf>
    <xf numFmtId="0" fontId="0" fillId="0" borderId="0" xfId="0" applyAlignment="1">
      <alignment horizontal="left" vertical="center"/>
    </xf>
    <xf numFmtId="0" fontId="0" fillId="12" borderId="30" xfId="0" applyFill="1" applyBorder="1" applyAlignment="1">
      <alignment vertical="center"/>
    </xf>
    <xf numFmtId="0" fontId="21" fillId="4" borderId="0" xfId="0" applyNumberFormat="1" applyFont="1" applyFill="1" applyBorder="1" applyAlignment="1" applyProtection="1">
      <alignment horizontal="left" vertical="center"/>
      <protection/>
    </xf>
    <xf numFmtId="0" fontId="21" fillId="4" borderId="0" xfId="0" applyNumberFormat="1" applyFont="1" applyFill="1" applyBorder="1" applyAlignment="1" applyProtection="1">
      <alignment vertical="center"/>
      <protection/>
    </xf>
    <xf numFmtId="0" fontId="21" fillId="10" borderId="14" xfId="0" applyNumberFormat="1" applyFont="1" applyFill="1" applyBorder="1" applyAlignment="1">
      <alignment horizontal="left" vertical="center"/>
    </xf>
    <xf numFmtId="49" fontId="21" fillId="0" borderId="14" xfId="0" applyNumberFormat="1" applyFont="1" applyFill="1" applyBorder="1" applyAlignment="1">
      <alignment horizontal="center" vertical="center"/>
    </xf>
    <xf numFmtId="49" fontId="21" fillId="0" borderId="14" xfId="0" applyNumberFormat="1" applyFont="1" applyFill="1" applyBorder="1" applyAlignment="1">
      <alignment horizontal="center" vertical="center" wrapText="1"/>
    </xf>
    <xf numFmtId="49" fontId="21" fillId="0" borderId="14" xfId="0" applyNumberFormat="1" applyFont="1" applyFill="1" applyBorder="1" applyAlignment="1">
      <alignment horizontal="left" vertical="center"/>
    </xf>
    <xf numFmtId="0" fontId="21" fillId="0" borderId="14" xfId="0" applyNumberFormat="1" applyFont="1" applyFill="1" applyBorder="1" applyAlignment="1">
      <alignment horizontal="left" vertical="center" wrapText="1"/>
    </xf>
    <xf numFmtId="49" fontId="25" fillId="0" borderId="14" xfId="0" applyNumberFormat="1" applyFont="1" applyBorder="1" applyAlignment="1">
      <alignment horizontal="center" vertical="center" wrapText="1"/>
    </xf>
    <xf numFmtId="0" fontId="21" fillId="0" borderId="14" xfId="0" applyFont="1" applyBorder="1" applyAlignment="1">
      <alignment horizontal="center" vertical="center" wrapText="1"/>
    </xf>
    <xf numFmtId="0" fontId="25" fillId="0" borderId="14" xfId="0" applyNumberFormat="1" applyFont="1" applyFill="1" applyBorder="1" applyAlignment="1">
      <alignment horizontal="left" vertical="center" wrapText="1"/>
    </xf>
    <xf numFmtId="49" fontId="25" fillId="0" borderId="14" xfId="0" applyNumberFormat="1" applyFont="1" applyFill="1" applyBorder="1" applyAlignment="1">
      <alignment horizontal="center" vertical="center"/>
    </xf>
    <xf numFmtId="49" fontId="25" fillId="0" borderId="14" xfId="0" applyNumberFormat="1" applyFont="1" applyBorder="1" applyAlignment="1">
      <alignment horizontal="center" vertical="center"/>
    </xf>
    <xf numFmtId="49" fontId="21" fillId="0" borderId="14" xfId="0" applyNumberFormat="1" applyFont="1" applyFill="1" applyBorder="1" applyAlignment="1">
      <alignment vertical="center"/>
    </xf>
    <xf numFmtId="49" fontId="25" fillId="0" borderId="0" xfId="0" applyNumberFormat="1" applyFont="1" applyAlignment="1">
      <alignment horizontal="center" vertical="center"/>
    </xf>
    <xf numFmtId="0" fontId="25" fillId="0" borderId="14" xfId="0" applyNumberFormat="1" applyFont="1" applyFill="1" applyBorder="1" applyAlignment="1">
      <alignment horizontal="left" vertical="center"/>
    </xf>
    <xf numFmtId="49" fontId="21" fillId="27" borderId="14" xfId="0" applyNumberFormat="1" applyFont="1" applyFill="1" applyBorder="1" applyAlignment="1">
      <alignment horizontal="center" vertical="center"/>
    </xf>
    <xf numFmtId="0" fontId="21" fillId="0" borderId="14" xfId="0" applyNumberFormat="1" applyFont="1" applyFill="1" applyBorder="1" applyAlignment="1">
      <alignment horizontal="left" vertical="center"/>
    </xf>
    <xf numFmtId="0" fontId="25" fillId="27" borderId="14" xfId="0" applyNumberFormat="1" applyFont="1" applyFill="1" applyBorder="1" applyAlignment="1">
      <alignment horizontal="left" vertical="center" wrapText="1"/>
    </xf>
    <xf numFmtId="0" fontId="25" fillId="0" borderId="0" xfId="0" applyNumberFormat="1" applyFont="1" applyFill="1" applyAlignment="1">
      <alignment horizontal="left" vertical="center" wrapText="1"/>
    </xf>
    <xf numFmtId="0" fontId="21" fillId="0" borderId="17" xfId="0" applyFont="1" applyFill="1" applyBorder="1" applyAlignment="1">
      <alignment horizontal="center" vertical="center"/>
    </xf>
    <xf numFmtId="0" fontId="21" fillId="0" borderId="14" xfId="0" applyFont="1" applyFill="1" applyBorder="1" applyAlignment="1">
      <alignment horizontal="center" vertical="center"/>
    </xf>
    <xf numFmtId="0" fontId="25" fillId="0" borderId="14" xfId="0" applyFont="1" applyBorder="1" applyAlignment="1">
      <alignment horizontal="center" vertical="center"/>
    </xf>
    <xf numFmtId="0" fontId="25" fillId="0" borderId="14" xfId="0" applyFont="1" applyFill="1" applyBorder="1" applyAlignment="1">
      <alignment horizontal="center" vertical="center"/>
    </xf>
    <xf numFmtId="0" fontId="25" fillId="0" borderId="0" xfId="0" applyFont="1" applyAlignment="1">
      <alignment horizontal="center" vertical="center"/>
    </xf>
    <xf numFmtId="0" fontId="25" fillId="0" borderId="14" xfId="0" applyNumberFormat="1" applyFont="1" applyFill="1" applyBorder="1" applyAlignment="1">
      <alignment horizontal="center" vertical="center"/>
    </xf>
    <xf numFmtId="0" fontId="25" fillId="0" borderId="0" xfId="0" applyNumberFormat="1" applyFont="1" applyFill="1" applyAlignment="1">
      <alignment horizontal="left" vertical="center"/>
    </xf>
    <xf numFmtId="49" fontId="25" fillId="0" borderId="14" xfId="0" applyNumberFormat="1" applyFont="1" applyFill="1" applyBorder="1" applyAlignment="1">
      <alignment vertical="center"/>
    </xf>
    <xf numFmtId="0" fontId="25" fillId="0" borderId="0" xfId="0" applyFont="1" applyFill="1" applyAlignment="1">
      <alignment horizontal="center" vertical="center"/>
    </xf>
    <xf numFmtId="0" fontId="25" fillId="0" borderId="14" xfId="0" applyFont="1" applyBorder="1" applyAlignment="1">
      <alignment vertical="center"/>
    </xf>
    <xf numFmtId="0" fontId="25" fillId="0" borderId="14" xfId="0" applyFont="1" applyFill="1" applyBorder="1" applyAlignment="1">
      <alignment vertical="center"/>
    </xf>
    <xf numFmtId="49" fontId="25" fillId="10" borderId="14" xfId="0" applyNumberFormat="1" applyFont="1" applyFill="1" applyBorder="1" applyAlignment="1">
      <alignment horizontal="center" vertical="center"/>
    </xf>
    <xf numFmtId="0" fontId="21" fillId="27" borderId="14" xfId="0" applyFont="1" applyFill="1" applyBorder="1" applyAlignment="1">
      <alignment vertical="center"/>
    </xf>
    <xf numFmtId="0" fontId="25" fillId="0" borderId="0" xfId="0" applyFont="1" applyAlignment="1">
      <alignment vertical="center"/>
    </xf>
    <xf numFmtId="0" fontId="21" fillId="5" borderId="14" xfId="0" applyFont="1" applyFill="1" applyBorder="1" applyAlignment="1">
      <alignment vertical="center"/>
    </xf>
    <xf numFmtId="0" fontId="21" fillId="0" borderId="14" xfId="0" applyFont="1" applyBorder="1" applyAlignment="1">
      <alignment vertical="center"/>
    </xf>
    <xf numFmtId="0" fontId="25" fillId="0" borderId="14" xfId="0" applyFont="1" applyBorder="1" applyAlignment="1">
      <alignment vertical="center"/>
    </xf>
    <xf numFmtId="0" fontId="21" fillId="4" borderId="14" xfId="0" applyFont="1" applyFill="1" applyBorder="1" applyAlignment="1">
      <alignment horizontal="center" vertical="center"/>
    </xf>
    <xf numFmtId="0" fontId="25" fillId="0" borderId="14" xfId="0" applyFont="1" applyBorder="1" applyAlignment="1">
      <alignment horizontal="left" vertical="center"/>
    </xf>
    <xf numFmtId="0" fontId="21" fillId="0" borderId="0" xfId="0" applyFont="1" applyFill="1" applyBorder="1" applyAlignment="1">
      <alignment horizontal="center" vertical="center"/>
    </xf>
    <xf numFmtId="0" fontId="21" fillId="0" borderId="0" xfId="0" applyFont="1" applyFill="1" applyBorder="1" applyAlignment="1">
      <alignment vertical="center"/>
    </xf>
    <xf numFmtId="49" fontId="21" fillId="0" borderId="0" xfId="0" applyNumberFormat="1" applyFont="1" applyFill="1" applyAlignment="1">
      <alignment horizontal="center" vertical="center"/>
    </xf>
    <xf numFmtId="0" fontId="21" fillId="0" borderId="0" xfId="0" applyFont="1" applyFill="1" applyAlignment="1">
      <alignment horizontal="center" vertical="center"/>
    </xf>
    <xf numFmtId="0" fontId="21" fillId="0" borderId="0" xfId="0" applyFont="1" applyFill="1" applyAlignment="1">
      <alignment horizontal="center" vertical="center" shrinkToFit="1"/>
    </xf>
    <xf numFmtId="0" fontId="21" fillId="0" borderId="0" xfId="0" applyFont="1" applyAlignment="1">
      <alignment horizontal="center" vertical="center"/>
    </xf>
    <xf numFmtId="0" fontId="25" fillId="0" borderId="0" xfId="0" applyNumberFormat="1" applyFont="1" applyBorder="1" applyAlignment="1">
      <alignment horizontal="left" vertical="center"/>
    </xf>
    <xf numFmtId="0" fontId="25" fillId="0" borderId="0" xfId="0" applyNumberFormat="1" applyFont="1" applyFill="1" applyBorder="1" applyAlignment="1">
      <alignment horizontal="left" vertical="center"/>
    </xf>
    <xf numFmtId="0" fontId="25" fillId="0" borderId="0" xfId="0" applyFont="1" applyFill="1" applyBorder="1" applyAlignment="1">
      <alignment vertical="center"/>
    </xf>
    <xf numFmtId="0" fontId="25" fillId="0" borderId="0" xfId="0" applyFont="1" applyFill="1" applyAlignment="1">
      <alignment vertical="center"/>
    </xf>
    <xf numFmtId="0" fontId="25" fillId="0" borderId="0" xfId="0" applyNumberFormat="1" applyFont="1" applyAlignment="1">
      <alignment horizontal="left" vertical="center"/>
    </xf>
    <xf numFmtId="0" fontId="21" fillId="0" borderId="0" xfId="0" applyFont="1" applyAlignment="1">
      <alignment vertical="center"/>
    </xf>
    <xf numFmtId="0" fontId="21" fillId="11" borderId="0" xfId="0" applyNumberFormat="1" applyFont="1" applyFill="1" applyBorder="1" applyAlignment="1">
      <alignment horizontal="left" vertical="center"/>
    </xf>
    <xf numFmtId="178" fontId="21" fillId="26" borderId="0" xfId="0" applyNumberFormat="1" applyFont="1" applyFill="1" applyBorder="1" applyAlignment="1" applyProtection="1">
      <alignment horizontal="left" vertical="center"/>
      <protection/>
    </xf>
    <xf numFmtId="0" fontId="21" fillId="8" borderId="12" xfId="0" applyNumberFormat="1" applyFont="1" applyFill="1" applyBorder="1" applyAlignment="1">
      <alignment horizontal="left" vertical="center"/>
    </xf>
    <xf numFmtId="0" fontId="21" fillId="8" borderId="13" xfId="0" applyNumberFormat="1" applyFont="1" applyFill="1" applyBorder="1" applyAlignment="1">
      <alignment horizontal="left" vertical="center"/>
    </xf>
    <xf numFmtId="0" fontId="21" fillId="12" borderId="22" xfId="0" applyNumberFormat="1" applyFont="1" applyFill="1" applyBorder="1" applyAlignment="1">
      <alignment horizontal="left" vertical="center"/>
    </xf>
    <xf numFmtId="0" fontId="21" fillId="8" borderId="23" xfId="0" applyNumberFormat="1" applyFont="1" applyFill="1" applyBorder="1" applyAlignment="1">
      <alignment horizontal="left" vertical="center"/>
    </xf>
    <xf numFmtId="0" fontId="21" fillId="8" borderId="32" xfId="0" applyNumberFormat="1" applyFont="1" applyFill="1" applyBorder="1" applyAlignment="1">
      <alignment horizontal="left" vertical="center"/>
    </xf>
    <xf numFmtId="0" fontId="21" fillId="12" borderId="19" xfId="0" applyNumberFormat="1" applyFont="1" applyFill="1" applyBorder="1" applyAlignment="1">
      <alignment horizontal="left" vertical="center"/>
    </xf>
    <xf numFmtId="0" fontId="21" fillId="8" borderId="24" xfId="0" applyNumberFormat="1" applyFont="1" applyFill="1" applyBorder="1" applyAlignment="1">
      <alignment horizontal="left" vertical="center"/>
    </xf>
    <xf numFmtId="0" fontId="21" fillId="8" borderId="19" xfId="0" applyNumberFormat="1" applyFont="1" applyFill="1" applyBorder="1" applyAlignment="1">
      <alignment horizontal="left" vertical="center"/>
    </xf>
    <xf numFmtId="0" fontId="21" fillId="8" borderId="20" xfId="0" applyNumberFormat="1" applyFont="1" applyFill="1" applyBorder="1" applyAlignment="1">
      <alignment horizontal="left" vertical="center"/>
    </xf>
    <xf numFmtId="0" fontId="21" fillId="8" borderId="16" xfId="0" applyNumberFormat="1" applyFont="1" applyFill="1" applyBorder="1" applyAlignment="1">
      <alignment horizontal="left" vertical="center"/>
    </xf>
    <xf numFmtId="0" fontId="21" fillId="8" borderId="15" xfId="0" applyNumberFormat="1" applyFont="1" applyFill="1" applyBorder="1" applyAlignment="1">
      <alignment horizontal="left" vertical="center"/>
    </xf>
    <xf numFmtId="0" fontId="21" fillId="8" borderId="17" xfId="0" applyNumberFormat="1" applyFont="1" applyFill="1" applyBorder="1" applyAlignment="1">
      <alignment horizontal="left" vertical="center"/>
    </xf>
    <xf numFmtId="0" fontId="21" fillId="8" borderId="0" xfId="0" applyFont="1" applyFill="1" applyBorder="1" applyAlignment="1">
      <alignment horizontal="left" vertical="top"/>
    </xf>
    <xf numFmtId="0" fontId="21" fillId="13" borderId="0" xfId="0" applyNumberFormat="1" applyFont="1" applyFill="1" applyBorder="1" applyAlignment="1">
      <alignment vertical="center" wrapText="1"/>
    </xf>
    <xf numFmtId="0" fontId="21" fillId="0" borderId="0" xfId="0" applyNumberFormat="1" applyFont="1" applyFill="1" applyBorder="1" applyAlignment="1" applyProtection="1" quotePrefix="1">
      <alignment horizontal="left" vertical="center"/>
      <protection/>
    </xf>
    <xf numFmtId="178" fontId="21" fillId="0" borderId="0" xfId="0" applyNumberFormat="1" applyFont="1" applyFill="1" applyBorder="1" applyAlignment="1">
      <alignment horizontal="left" vertical="center"/>
    </xf>
    <xf numFmtId="0" fontId="25" fillId="0" borderId="17" xfId="0" applyFont="1" applyFill="1" applyBorder="1" applyAlignment="1">
      <alignment vertical="center"/>
    </xf>
    <xf numFmtId="49" fontId="21" fillId="0" borderId="14" xfId="0" applyNumberFormat="1" applyFont="1" applyFill="1" applyBorder="1" applyAlignment="1">
      <alignment vertical="center"/>
    </xf>
    <xf numFmtId="49" fontId="25" fillId="0" borderId="14" xfId="0" applyNumberFormat="1" applyFont="1" applyBorder="1" applyAlignment="1">
      <alignment vertical="center"/>
    </xf>
    <xf numFmtId="0" fontId="21" fillId="22" borderId="14" xfId="0" applyNumberFormat="1" applyFont="1" applyFill="1" applyBorder="1" applyAlignment="1">
      <alignment horizontal="left" vertical="center"/>
    </xf>
    <xf numFmtId="49" fontId="25" fillId="0" borderId="14" xfId="0" applyNumberFormat="1" applyFont="1" applyBorder="1" applyAlignment="1">
      <alignment horizontal="center" vertical="center" shrinkToFit="1"/>
    </xf>
    <xf numFmtId="49" fontId="25" fillId="0" borderId="14" xfId="0" applyNumberFormat="1" applyFont="1" applyBorder="1" applyAlignment="1">
      <alignment horizontal="left" vertical="center"/>
    </xf>
    <xf numFmtId="0" fontId="25" fillId="22" borderId="14" xfId="0" applyNumberFormat="1" applyFont="1" applyFill="1" applyBorder="1" applyAlignment="1">
      <alignment horizontal="left" vertical="center" wrapText="1"/>
    </xf>
    <xf numFmtId="49" fontId="25" fillId="29" borderId="14" xfId="0" applyNumberFormat="1" applyFont="1" applyFill="1" applyBorder="1" applyAlignment="1">
      <alignment vertical="center"/>
    </xf>
    <xf numFmtId="49" fontId="25" fillId="0" borderId="14" xfId="0" applyNumberFormat="1" applyFont="1" applyFill="1" applyBorder="1" applyAlignment="1">
      <alignment vertical="center" wrapText="1"/>
    </xf>
    <xf numFmtId="0" fontId="25" fillId="5" borderId="14" xfId="0" applyFont="1" applyFill="1" applyBorder="1" applyAlignment="1">
      <alignment horizontal="center" vertical="center"/>
    </xf>
    <xf numFmtId="0" fontId="25" fillId="22" borderId="14" xfId="0" applyNumberFormat="1" applyFont="1" applyFill="1" applyBorder="1" applyAlignment="1">
      <alignment horizontal="center" vertical="center" wrapText="1"/>
    </xf>
    <xf numFmtId="0" fontId="21" fillId="0" borderId="14" xfId="0" applyNumberFormat="1" applyFont="1" applyFill="1" applyBorder="1" applyAlignment="1">
      <alignment horizontal="center" vertical="center"/>
    </xf>
    <xf numFmtId="0" fontId="25" fillId="0" borderId="14" xfId="0" applyNumberFormat="1" applyFont="1" applyBorder="1" applyAlignment="1">
      <alignment horizontal="center" vertical="center"/>
    </xf>
    <xf numFmtId="0" fontId="25" fillId="0" borderId="14" xfId="0" applyNumberFormat="1" applyFont="1" applyFill="1" applyBorder="1" applyAlignment="1">
      <alignment horizontal="center" vertical="center" wrapText="1"/>
    </xf>
    <xf numFmtId="0" fontId="21" fillId="22" borderId="14" xfId="0" applyNumberFormat="1" applyFont="1" applyFill="1" applyBorder="1" applyAlignment="1">
      <alignment horizontal="center" vertical="center"/>
    </xf>
    <xf numFmtId="49" fontId="25" fillId="0" borderId="17" xfId="0" applyNumberFormat="1" applyFont="1" applyBorder="1" applyAlignment="1">
      <alignment horizontal="center" vertical="center"/>
    </xf>
    <xf numFmtId="49" fontId="25" fillId="27" borderId="11" xfId="0" applyNumberFormat="1" applyFont="1" applyFill="1" applyBorder="1" applyAlignment="1">
      <alignment vertical="center"/>
    </xf>
    <xf numFmtId="49" fontId="25" fillId="27" borderId="13" xfId="0" applyNumberFormat="1" applyFont="1" applyFill="1" applyBorder="1" applyAlignment="1">
      <alignment vertical="center"/>
    </xf>
    <xf numFmtId="0" fontId="21" fillId="0" borderId="14" xfId="0" applyFont="1" applyFill="1" applyBorder="1" applyAlignment="1">
      <alignment horizontal="left" vertical="center"/>
    </xf>
    <xf numFmtId="0" fontId="25" fillId="5" borderId="11" xfId="0" applyFont="1" applyFill="1" applyBorder="1" applyAlignment="1">
      <alignment vertical="center"/>
    </xf>
    <xf numFmtId="0" fontId="25" fillId="5" borderId="12" xfId="0" applyFont="1" applyFill="1" applyBorder="1" applyAlignment="1">
      <alignment vertical="center"/>
    </xf>
    <xf numFmtId="0" fontId="25" fillId="4" borderId="12" xfId="0" applyFont="1" applyFill="1" applyBorder="1" applyAlignment="1">
      <alignment vertical="center"/>
    </xf>
    <xf numFmtId="0" fontId="25" fillId="4" borderId="13" xfId="0" applyFont="1" applyFill="1" applyBorder="1" applyAlignment="1">
      <alignment vertical="center"/>
    </xf>
    <xf numFmtId="0" fontId="25" fillId="20" borderId="14" xfId="0" applyFont="1" applyFill="1" applyBorder="1" applyAlignment="1">
      <alignment vertical="center" wrapText="1"/>
    </xf>
    <xf numFmtId="0" fontId="25" fillId="27" borderId="14" xfId="0" applyFont="1" applyFill="1" applyBorder="1" applyAlignment="1">
      <alignment vertical="center" wrapText="1"/>
    </xf>
    <xf numFmtId="0" fontId="21" fillId="24" borderId="11" xfId="0" applyFont="1" applyFill="1" applyBorder="1" applyAlignment="1">
      <alignment vertical="center"/>
    </xf>
    <xf numFmtId="0" fontId="21" fillId="24" borderId="12" xfId="0" applyFont="1" applyFill="1" applyBorder="1" applyAlignment="1">
      <alignment vertical="center"/>
    </xf>
    <xf numFmtId="0" fontId="21" fillId="24" borderId="13" xfId="0" applyFont="1" applyFill="1" applyBorder="1" applyAlignment="1">
      <alignment vertical="center"/>
    </xf>
    <xf numFmtId="0" fontId="21" fillId="26" borderId="11" xfId="0" applyFont="1" applyFill="1" applyBorder="1" applyAlignment="1">
      <alignment vertical="center"/>
    </xf>
    <xf numFmtId="0" fontId="21" fillId="26" borderId="12" xfId="0" applyFont="1" applyFill="1" applyBorder="1" applyAlignment="1">
      <alignment vertical="center"/>
    </xf>
    <xf numFmtId="0" fontId="21" fillId="26" borderId="13" xfId="0" applyFont="1" applyFill="1" applyBorder="1" applyAlignment="1">
      <alignment vertical="center"/>
    </xf>
    <xf numFmtId="49" fontId="21" fillId="24" borderId="11" xfId="0" applyNumberFormat="1" applyFont="1" applyFill="1" applyBorder="1" applyAlignment="1">
      <alignment vertical="center"/>
    </xf>
    <xf numFmtId="49" fontId="21" fillId="24" borderId="12" xfId="0" applyNumberFormat="1" applyFont="1" applyFill="1" applyBorder="1" applyAlignment="1">
      <alignment vertical="center"/>
    </xf>
    <xf numFmtId="49" fontId="21" fillId="24" borderId="13" xfId="0" applyNumberFormat="1" applyFont="1" applyFill="1" applyBorder="1" applyAlignment="1">
      <alignment vertical="center"/>
    </xf>
    <xf numFmtId="0" fontId="21" fillId="5" borderId="11" xfId="0" applyFont="1" applyFill="1" applyBorder="1" applyAlignment="1">
      <alignment vertical="center"/>
    </xf>
    <xf numFmtId="0" fontId="21" fillId="5" borderId="12" xfId="0" applyFont="1" applyFill="1" applyBorder="1" applyAlignment="1">
      <alignment vertical="center"/>
    </xf>
    <xf numFmtId="0" fontId="21" fillId="5" borderId="13" xfId="0" applyFont="1" applyFill="1" applyBorder="1" applyAlignment="1">
      <alignment vertical="center"/>
    </xf>
    <xf numFmtId="179" fontId="21" fillId="5" borderId="0" xfId="0" applyNumberFormat="1" applyFont="1" applyFill="1" applyBorder="1" applyAlignment="1">
      <alignment horizontal="left" vertical="center"/>
    </xf>
    <xf numFmtId="178" fontId="21" fillId="8" borderId="0" xfId="0" applyNumberFormat="1" applyFont="1" applyFill="1" applyBorder="1" applyAlignment="1" applyProtection="1">
      <alignment vertical="center"/>
      <protection/>
    </xf>
    <xf numFmtId="176" fontId="21" fillId="0" borderId="0" xfId="0" applyNumberFormat="1" applyFont="1" applyFill="1" applyBorder="1" applyAlignment="1" applyProtection="1">
      <alignment vertical="center"/>
      <protection/>
    </xf>
    <xf numFmtId="176" fontId="21" fillId="26" borderId="0" xfId="0" applyNumberFormat="1" applyFont="1" applyFill="1" applyBorder="1" applyAlignment="1" applyProtection="1">
      <alignment vertical="center"/>
      <protection/>
    </xf>
    <xf numFmtId="184" fontId="21" fillId="8" borderId="0" xfId="0" applyNumberFormat="1" applyFont="1" applyFill="1" applyBorder="1" applyAlignment="1" applyProtection="1">
      <alignment vertical="center"/>
      <protection/>
    </xf>
    <xf numFmtId="184" fontId="21" fillId="13" borderId="0" xfId="0" applyNumberFormat="1" applyFont="1" applyFill="1" applyBorder="1" applyAlignment="1" applyProtection="1">
      <alignment vertical="center"/>
      <protection/>
    </xf>
    <xf numFmtId="178" fontId="21" fillId="8" borderId="0" xfId="0" applyNumberFormat="1" applyFont="1" applyFill="1" applyBorder="1" applyAlignment="1">
      <alignment horizontal="left" vertical="center"/>
    </xf>
    <xf numFmtId="176" fontId="21" fillId="8" borderId="0" xfId="0" applyNumberFormat="1" applyFont="1" applyFill="1" applyBorder="1" applyAlignment="1">
      <alignment horizontal="left" vertical="center"/>
    </xf>
    <xf numFmtId="176" fontId="21" fillId="0" borderId="0" xfId="0" applyNumberFormat="1" applyFont="1" applyFill="1" applyBorder="1" applyAlignment="1">
      <alignment horizontal="left" vertical="center"/>
    </xf>
    <xf numFmtId="176" fontId="21" fillId="26" borderId="0" xfId="0" applyNumberFormat="1" applyFont="1" applyFill="1" applyBorder="1" applyAlignment="1">
      <alignment horizontal="left" vertical="center"/>
    </xf>
    <xf numFmtId="176" fontId="21" fillId="13" borderId="0" xfId="0" applyNumberFormat="1" applyFont="1" applyFill="1" applyBorder="1" applyAlignment="1">
      <alignment horizontal="left" vertical="center"/>
    </xf>
    <xf numFmtId="0" fontId="0" fillId="13" borderId="0" xfId="0" applyFill="1" applyAlignment="1">
      <alignment vertical="center"/>
    </xf>
    <xf numFmtId="49" fontId="22" fillId="0" borderId="0" xfId="0" applyNumberFormat="1" applyFont="1" applyFill="1" applyBorder="1" applyAlignment="1" applyProtection="1">
      <alignment horizontal="left" vertical="center"/>
      <protection/>
    </xf>
    <xf numFmtId="0" fontId="25" fillId="0" borderId="0" xfId="0" applyFont="1" applyBorder="1" applyAlignment="1">
      <alignment horizontal="left" vertical="center"/>
    </xf>
    <xf numFmtId="49" fontId="25" fillId="0" borderId="0" xfId="0" applyNumberFormat="1" applyFont="1" applyBorder="1" applyAlignment="1">
      <alignment horizontal="left" vertical="center"/>
    </xf>
    <xf numFmtId="182" fontId="21" fillId="8" borderId="0" xfId="0" applyNumberFormat="1" applyFont="1" applyFill="1" applyBorder="1" applyAlignment="1" applyProtection="1">
      <alignment horizontal="right" vertical="center"/>
      <protection/>
    </xf>
    <xf numFmtId="182" fontId="21" fillId="5" borderId="0" xfId="0" applyNumberFormat="1" applyFont="1" applyFill="1" applyBorder="1" applyAlignment="1" applyProtection="1">
      <alignment vertical="center"/>
      <protection/>
    </xf>
    <xf numFmtId="182" fontId="21" fillId="0" borderId="0" xfId="0" applyNumberFormat="1" applyFont="1" applyFill="1" applyBorder="1" applyAlignment="1" applyProtection="1">
      <alignment vertical="center"/>
      <protection/>
    </xf>
    <xf numFmtId="182" fontId="21" fillId="13" borderId="0" xfId="0" applyNumberFormat="1" applyFont="1" applyFill="1" applyBorder="1" applyAlignment="1" applyProtection="1">
      <alignment horizontal="right" vertical="center"/>
      <protection/>
    </xf>
    <xf numFmtId="179" fontId="21" fillId="4" borderId="0" xfId="0" applyNumberFormat="1" applyFont="1" applyFill="1" applyBorder="1" applyAlignment="1" quotePrefix="1">
      <alignment horizontal="right" vertical="center"/>
    </xf>
    <xf numFmtId="179" fontId="21" fillId="5" borderId="0" xfId="0" applyNumberFormat="1" applyFont="1" applyFill="1" applyBorder="1" applyAlignment="1" quotePrefix="1">
      <alignment horizontal="right" vertical="center"/>
    </xf>
    <xf numFmtId="180" fontId="21" fillId="13" borderId="0" xfId="0" applyNumberFormat="1" applyFont="1" applyFill="1" applyBorder="1" applyAlignment="1">
      <alignment horizontal="left" vertical="center"/>
    </xf>
    <xf numFmtId="181" fontId="21" fillId="8" borderId="0" xfId="0" applyNumberFormat="1" applyFont="1" applyFill="1" applyBorder="1" applyAlignment="1" applyProtection="1">
      <alignment vertical="center"/>
      <protection/>
    </xf>
    <xf numFmtId="49" fontId="21" fillId="0" borderId="0" xfId="0" applyNumberFormat="1" applyFont="1" applyBorder="1" applyAlignment="1">
      <alignment horizontal="left" vertical="center" shrinkToFit="1"/>
    </xf>
    <xf numFmtId="49" fontId="21" fillId="13" borderId="0" xfId="0" applyNumberFormat="1" applyFont="1" applyFill="1" applyBorder="1" applyAlignment="1">
      <alignment horizontal="left" vertical="center" shrinkToFit="1"/>
    </xf>
    <xf numFmtId="49" fontId="23" fillId="0" borderId="0" xfId="0" applyNumberFormat="1" applyFont="1" applyFill="1" applyAlignment="1">
      <alignment vertical="center"/>
    </xf>
    <xf numFmtId="49" fontId="0" fillId="0" borderId="0" xfId="0" applyNumberFormat="1" applyAlignment="1">
      <alignment vertical="center"/>
    </xf>
    <xf numFmtId="49" fontId="21" fillId="0" borderId="0" xfId="0" applyNumberFormat="1" applyFont="1" applyFill="1" applyBorder="1" applyAlignment="1" applyProtection="1" quotePrefix="1">
      <alignment vertical="center"/>
      <protection/>
    </xf>
    <xf numFmtId="49" fontId="21" fillId="0" borderId="0" xfId="0" applyNumberFormat="1" applyFont="1" applyAlignment="1">
      <alignment vertical="center"/>
    </xf>
    <xf numFmtId="49" fontId="21" fillId="27" borderId="0" xfId="0" applyNumberFormat="1" applyFont="1" applyFill="1" applyBorder="1" applyAlignment="1">
      <alignment horizontal="left" vertical="center" shrinkToFit="1"/>
    </xf>
    <xf numFmtId="49" fontId="21" fillId="0" borderId="0" xfId="0" applyNumberFormat="1" applyFont="1" applyFill="1" applyBorder="1" applyAlignment="1">
      <alignment vertical="center"/>
    </xf>
    <xf numFmtId="49" fontId="21" fillId="0" borderId="0" xfId="0" applyNumberFormat="1" applyFont="1" applyBorder="1" applyAlignment="1">
      <alignment vertical="center"/>
    </xf>
    <xf numFmtId="49" fontId="25" fillId="0" borderId="0" xfId="0" applyNumberFormat="1" applyFont="1" applyFill="1" applyBorder="1" applyAlignment="1">
      <alignment vertical="center"/>
    </xf>
    <xf numFmtId="179" fontId="25" fillId="8" borderId="0" xfId="0" applyNumberFormat="1" applyFont="1" applyFill="1" applyBorder="1" applyAlignment="1">
      <alignment vertical="center"/>
    </xf>
    <xf numFmtId="0" fontId="25" fillId="0" borderId="0" xfId="0" applyFont="1" applyBorder="1" applyAlignment="1">
      <alignment vertical="center"/>
    </xf>
    <xf numFmtId="0" fontId="25" fillId="0" borderId="0" xfId="0" applyFont="1" applyBorder="1" applyAlignment="1">
      <alignment horizontal="right" vertical="center"/>
    </xf>
    <xf numFmtId="179" fontId="25" fillId="0" borderId="0" xfId="0" applyNumberFormat="1" applyFont="1" applyBorder="1" applyAlignment="1">
      <alignment horizontal="left" vertical="center"/>
    </xf>
    <xf numFmtId="0" fontId="25" fillId="0" borderId="0" xfId="0" applyFont="1" applyFill="1" applyBorder="1" applyAlignment="1">
      <alignment vertical="center"/>
    </xf>
    <xf numFmtId="179" fontId="25" fillId="0" borderId="0" xfId="0" applyNumberFormat="1" applyFont="1" applyBorder="1" applyAlignment="1">
      <alignment horizontal="left" vertical="top"/>
    </xf>
    <xf numFmtId="0" fontId="25" fillId="0" borderId="0" xfId="0" applyFont="1" applyAlignment="1">
      <alignment vertical="center"/>
    </xf>
    <xf numFmtId="0" fontId="25" fillId="0" borderId="0" xfId="0" applyFont="1" applyAlignment="1">
      <alignment horizontal="right" vertical="center"/>
    </xf>
    <xf numFmtId="179" fontId="25" fillId="0" borderId="0" xfId="0" applyNumberFormat="1" applyFont="1" applyAlignment="1">
      <alignment vertical="center"/>
    </xf>
    <xf numFmtId="179" fontId="25" fillId="12" borderId="0" xfId="0" applyNumberFormat="1" applyFont="1" applyFill="1" applyAlignment="1">
      <alignment vertical="center"/>
    </xf>
    <xf numFmtId="179" fontId="25" fillId="27" borderId="0" xfId="0" applyNumberFormat="1" applyFont="1" applyFill="1" applyAlignment="1">
      <alignment vertical="center"/>
    </xf>
    <xf numFmtId="179" fontId="25" fillId="0" borderId="0" xfId="0" applyNumberFormat="1" applyFont="1" applyBorder="1" applyAlignment="1">
      <alignment vertical="center"/>
    </xf>
    <xf numFmtId="0" fontId="25" fillId="12" borderId="28" xfId="0" applyFont="1" applyFill="1" applyBorder="1" applyAlignment="1">
      <alignment horizontal="center" vertical="center"/>
    </xf>
    <xf numFmtId="0" fontId="25" fillId="0" borderId="28" xfId="0" applyFont="1" applyBorder="1" applyAlignment="1">
      <alignment horizontal="center" vertical="center"/>
    </xf>
    <xf numFmtId="0" fontId="25" fillId="0" borderId="28" xfId="0" applyFont="1" applyFill="1" applyBorder="1" applyAlignment="1">
      <alignment horizontal="center" vertical="center"/>
    </xf>
    <xf numFmtId="179" fontId="25" fillId="0" borderId="28" xfId="0" applyNumberFormat="1" applyFont="1" applyBorder="1" applyAlignment="1">
      <alignment horizontal="center" vertical="center"/>
    </xf>
    <xf numFmtId="0" fontId="25" fillId="0" borderId="28" xfId="0" applyFont="1" applyBorder="1" applyAlignment="1">
      <alignment horizontal="center" vertical="center" shrinkToFit="1"/>
    </xf>
    <xf numFmtId="0" fontId="25" fillId="0" borderId="29" xfId="0" applyFont="1" applyBorder="1" applyAlignment="1">
      <alignment horizontal="center" vertical="center"/>
    </xf>
    <xf numFmtId="0" fontId="25" fillId="0" borderId="31" xfId="0" applyFont="1" applyFill="1" applyBorder="1" applyAlignment="1">
      <alignment horizontal="right" vertical="center"/>
    </xf>
    <xf numFmtId="179" fontId="25" fillId="12" borderId="31" xfId="0" applyNumberFormat="1" applyFont="1" applyFill="1" applyBorder="1" applyAlignment="1">
      <alignment horizontal="right" vertical="center"/>
    </xf>
    <xf numFmtId="0" fontId="25" fillId="0" borderId="29" xfId="0" applyFont="1" applyBorder="1" applyAlignment="1">
      <alignment vertical="center" shrinkToFit="1"/>
    </xf>
    <xf numFmtId="0" fontId="25" fillId="12" borderId="29" xfId="0" applyFont="1" applyFill="1" applyBorder="1" applyAlignment="1">
      <alignment vertical="center"/>
    </xf>
    <xf numFmtId="0" fontId="25" fillId="12" borderId="31" xfId="0" applyFont="1" applyFill="1" applyBorder="1" applyAlignment="1">
      <alignment vertical="center"/>
    </xf>
    <xf numFmtId="0" fontId="25" fillId="0" borderId="31" xfId="0" applyFont="1" applyBorder="1" applyAlignment="1">
      <alignment vertical="center" shrinkToFit="1"/>
    </xf>
    <xf numFmtId="0" fontId="25" fillId="12" borderId="30" xfId="0" applyFont="1" applyFill="1" applyBorder="1" applyAlignment="1">
      <alignment vertical="center"/>
    </xf>
    <xf numFmtId="0" fontId="25" fillId="0" borderId="30" xfId="0" applyFont="1" applyFill="1" applyBorder="1" applyAlignment="1">
      <alignment horizontal="right" vertical="center"/>
    </xf>
    <xf numFmtId="179" fontId="25" fillId="12" borderId="30" xfId="0" applyNumberFormat="1" applyFont="1" applyFill="1" applyBorder="1" applyAlignment="1">
      <alignment horizontal="right" vertical="center"/>
    </xf>
    <xf numFmtId="0" fontId="25" fillId="0" borderId="30" xfId="0" applyFont="1" applyBorder="1" applyAlignment="1">
      <alignment vertical="center" shrinkToFit="1"/>
    </xf>
    <xf numFmtId="0" fontId="25" fillId="0" borderId="29" xfId="0" applyFont="1" applyFill="1" applyBorder="1" applyAlignment="1">
      <alignment horizontal="right" vertical="center"/>
    </xf>
    <xf numFmtId="0" fontId="21" fillId="0" borderId="29" xfId="0" applyFont="1" applyFill="1" applyBorder="1" applyAlignment="1">
      <alignment vertical="center" shrinkToFit="1"/>
    </xf>
    <xf numFmtId="0" fontId="21" fillId="0" borderId="31" xfId="0" applyFont="1" applyFill="1" applyBorder="1" applyAlignment="1">
      <alignment vertical="center" shrinkToFit="1"/>
    </xf>
    <xf numFmtId="0" fontId="21" fillId="5" borderId="0" xfId="0" applyFont="1" applyFill="1" applyAlignment="1">
      <alignment vertical="center"/>
    </xf>
    <xf numFmtId="0" fontId="21" fillId="0" borderId="0" xfId="0" applyFont="1" applyFill="1" applyAlignment="1">
      <alignment vertical="center"/>
    </xf>
    <xf numFmtId="0" fontId="25" fillId="13" borderId="0" xfId="0" applyFont="1" applyFill="1" applyBorder="1" applyAlignment="1">
      <alignment vertical="center"/>
    </xf>
    <xf numFmtId="0" fontId="25" fillId="30" borderId="0" xfId="0" applyFont="1" applyFill="1" applyBorder="1" applyAlignment="1">
      <alignment vertical="center"/>
    </xf>
    <xf numFmtId="0" fontId="25" fillId="27" borderId="33" xfId="0" applyFont="1" applyFill="1" applyBorder="1" applyAlignment="1">
      <alignment vertical="center"/>
    </xf>
    <xf numFmtId="0" fontId="25" fillId="12" borderId="34" xfId="0" applyFont="1" applyFill="1" applyBorder="1" applyAlignment="1">
      <alignment vertical="center"/>
    </xf>
    <xf numFmtId="0" fontId="25" fillId="12" borderId="35" xfId="0" applyFont="1" applyFill="1" applyBorder="1" applyAlignment="1">
      <alignment vertical="center"/>
    </xf>
    <xf numFmtId="0" fontId="25" fillId="0" borderId="36" xfId="0" applyFont="1" applyBorder="1" applyAlignment="1">
      <alignment horizontal="center" vertical="center"/>
    </xf>
    <xf numFmtId="0" fontId="25" fillId="0" borderId="37" xfId="0" applyFont="1" applyBorder="1" applyAlignment="1">
      <alignment horizontal="center" vertical="center"/>
    </xf>
    <xf numFmtId="0" fontId="25" fillId="0" borderId="38" xfId="0" applyFont="1" applyBorder="1" applyAlignment="1">
      <alignment horizontal="center" vertical="center"/>
    </xf>
    <xf numFmtId="0" fontId="25" fillId="0" borderId="39" xfId="0" applyFont="1" applyBorder="1" applyAlignment="1">
      <alignment horizontal="center" vertical="center"/>
    </xf>
    <xf numFmtId="0" fontId="25" fillId="0" borderId="40" xfId="0" applyFont="1" applyBorder="1" applyAlignment="1">
      <alignment horizontal="center" vertical="center"/>
    </xf>
    <xf numFmtId="0" fontId="25" fillId="0" borderId="29" xfId="0" applyFont="1" applyBorder="1" applyAlignment="1">
      <alignment horizontal="left" vertical="center"/>
    </xf>
    <xf numFmtId="0" fontId="25" fillId="0" borderId="41" xfId="0" applyFont="1" applyBorder="1" applyAlignment="1">
      <alignment vertical="center" shrinkToFit="1"/>
    </xf>
    <xf numFmtId="0" fontId="25" fillId="0" borderId="42" xfId="0" applyFont="1" applyBorder="1" applyAlignment="1">
      <alignment vertical="center" shrinkToFit="1"/>
    </xf>
    <xf numFmtId="0" fontId="25" fillId="0" borderId="43" xfId="0" applyFont="1" applyBorder="1" applyAlignment="1">
      <alignment vertical="center" shrinkToFit="1"/>
    </xf>
    <xf numFmtId="0" fontId="25" fillId="0" borderId="44" xfId="0" applyFont="1" applyBorder="1" applyAlignment="1">
      <alignment vertical="center" shrinkToFit="1"/>
    </xf>
    <xf numFmtId="0" fontId="25" fillId="0" borderId="45" xfId="0" applyFont="1" applyBorder="1" applyAlignment="1">
      <alignment vertical="center" shrinkToFit="1"/>
    </xf>
    <xf numFmtId="0" fontId="25" fillId="5" borderId="0" xfId="0" applyFont="1" applyFill="1" applyBorder="1" applyAlignment="1">
      <alignment vertical="center"/>
    </xf>
    <xf numFmtId="179" fontId="25" fillId="5" borderId="0" xfId="0" applyNumberFormat="1" applyFont="1" applyFill="1" applyBorder="1" applyAlignment="1">
      <alignment vertical="center"/>
    </xf>
    <xf numFmtId="0" fontId="25" fillId="5" borderId="0" xfId="0" applyFont="1" applyFill="1" applyBorder="1" applyAlignment="1">
      <alignment vertical="top" wrapText="1"/>
    </xf>
    <xf numFmtId="0" fontId="25" fillId="8" borderId="0" xfId="0" applyFont="1" applyFill="1" applyBorder="1" applyAlignment="1">
      <alignment vertical="center"/>
    </xf>
    <xf numFmtId="0" fontId="21" fillId="27" borderId="0" xfId="0" applyFont="1" applyFill="1" applyBorder="1" applyAlignment="1">
      <alignment horizontal="left" vertical="center"/>
    </xf>
    <xf numFmtId="185" fontId="25" fillId="0" borderId="0" xfId="0" applyNumberFormat="1" applyFont="1" applyAlignment="1">
      <alignment horizontal="left" vertical="center" shrinkToFit="1"/>
    </xf>
    <xf numFmtId="0" fontId="21" fillId="0" borderId="0" xfId="0" applyNumberFormat="1" applyFont="1" applyFill="1" applyBorder="1" applyAlignment="1">
      <alignment vertical="center"/>
    </xf>
    <xf numFmtId="0" fontId="21" fillId="5" borderId="0" xfId="0" applyNumberFormat="1" applyFont="1" applyFill="1" applyBorder="1" applyAlignment="1">
      <alignment vertical="center"/>
    </xf>
    <xf numFmtId="186" fontId="21" fillId="5" borderId="0" xfId="0" applyNumberFormat="1" applyFont="1" applyFill="1" applyBorder="1" applyAlignment="1" applyProtection="1">
      <alignment horizontal="left" vertical="center" shrinkToFit="1"/>
      <protection/>
    </xf>
    <xf numFmtId="49" fontId="0" fillId="0" borderId="14"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xf>
    <xf numFmtId="0" fontId="21" fillId="0" borderId="0" xfId="0" applyFont="1" applyFill="1" applyAlignment="1">
      <alignment/>
    </xf>
    <xf numFmtId="0" fontId="21" fillId="12" borderId="0" xfId="0" applyFont="1" applyFill="1" applyAlignment="1">
      <alignment/>
    </xf>
    <xf numFmtId="0" fontId="21" fillId="5" borderId="0" xfId="0" applyFont="1" applyFill="1" applyAlignment="1">
      <alignment/>
    </xf>
    <xf numFmtId="0" fontId="21" fillId="0" borderId="0" xfId="0" applyFont="1" applyFill="1" applyAlignment="1">
      <alignment horizontal="center"/>
    </xf>
    <xf numFmtId="0" fontId="21" fillId="0" borderId="0" xfId="0" applyFont="1" applyFill="1" applyAlignment="1" quotePrefix="1">
      <alignment horizontal="center"/>
    </xf>
    <xf numFmtId="0" fontId="21" fillId="5" borderId="0" xfId="0" applyNumberFormat="1" applyFont="1" applyFill="1" applyBorder="1" applyAlignment="1" applyProtection="1">
      <alignment horizontal="left" vertical="center" shrinkToFit="1"/>
      <protection/>
    </xf>
    <xf numFmtId="179" fontId="21" fillId="0" borderId="0" xfId="0" applyNumberFormat="1" applyFont="1" applyFill="1" applyBorder="1" applyAlignment="1">
      <alignment horizontal="left" vertical="center"/>
    </xf>
    <xf numFmtId="0" fontId="0" fillId="0" borderId="0" xfId="0" applyFill="1" applyAlignment="1">
      <alignment vertical="center"/>
    </xf>
    <xf numFmtId="0" fontId="21" fillId="26" borderId="0" xfId="0" applyFont="1" applyFill="1" applyBorder="1" applyAlignment="1">
      <alignment horizontal="left" vertical="center"/>
    </xf>
    <xf numFmtId="178" fontId="21" fillId="13" borderId="0" xfId="0" applyNumberFormat="1" applyFont="1" applyFill="1" applyBorder="1" applyAlignment="1">
      <alignment horizontal="left" vertical="center"/>
    </xf>
    <xf numFmtId="180" fontId="21" fillId="13" borderId="0" xfId="0" applyNumberFormat="1" applyFont="1" applyFill="1" applyBorder="1" applyAlignment="1" applyProtection="1">
      <alignment vertical="center"/>
      <protection/>
    </xf>
    <xf numFmtId="0" fontId="23" fillId="0" borderId="0" xfId="0" applyFont="1" applyAlignment="1">
      <alignment vertical="center"/>
    </xf>
    <xf numFmtId="0" fontId="0" fillId="5" borderId="0" xfId="0" applyFill="1" applyAlignment="1">
      <alignment vertical="center"/>
    </xf>
    <xf numFmtId="0" fontId="0" fillId="26" borderId="0" xfId="0" applyFill="1" applyAlignment="1">
      <alignment vertical="center"/>
    </xf>
    <xf numFmtId="188" fontId="21" fillId="0" borderId="0" xfId="0" applyNumberFormat="1" applyFont="1" applyAlignment="1">
      <alignment horizontal="center" vertical="center"/>
    </xf>
    <xf numFmtId="0" fontId="19" fillId="0" borderId="0" xfId="0" applyFont="1" applyAlignment="1">
      <alignment vertical="center"/>
    </xf>
    <xf numFmtId="0" fontId="19" fillId="0" borderId="0" xfId="0" applyFont="1" applyAlignment="1">
      <alignment horizontal="center" vertical="center"/>
    </xf>
    <xf numFmtId="0" fontId="0" fillId="0" borderId="0" xfId="0" applyFont="1" applyAlignment="1">
      <alignment vertical="center"/>
    </xf>
    <xf numFmtId="0" fontId="19" fillId="0" borderId="0" xfId="0" applyFont="1" applyBorder="1" applyAlignment="1">
      <alignment horizontal="center" vertical="center"/>
    </xf>
    <xf numFmtId="0" fontId="19" fillId="0" borderId="0" xfId="0" applyFont="1" applyBorder="1" applyAlignment="1">
      <alignment vertical="center"/>
    </xf>
    <xf numFmtId="0" fontId="19" fillId="0" borderId="46" xfId="0" applyFont="1" applyBorder="1" applyAlignment="1">
      <alignment vertical="center"/>
    </xf>
    <xf numFmtId="0" fontId="21" fillId="0" borderId="14" xfId="0" applyFont="1" applyFill="1" applyBorder="1" applyAlignment="1">
      <alignment horizontal="right" vertical="center"/>
    </xf>
    <xf numFmtId="0" fontId="21" fillId="6" borderId="14" xfId="0" applyFont="1" applyFill="1" applyBorder="1" applyAlignment="1">
      <alignment horizontal="right" vertical="center"/>
    </xf>
    <xf numFmtId="0" fontId="31" fillId="0" borderId="0" xfId="0" applyFont="1" applyAlignment="1">
      <alignment vertical="center"/>
    </xf>
    <xf numFmtId="0" fontId="27" fillId="0" borderId="0" xfId="0" applyFont="1" applyAlignment="1">
      <alignment vertical="center"/>
    </xf>
    <xf numFmtId="0" fontId="23" fillId="0" borderId="47" xfId="0" applyFont="1" applyBorder="1" applyAlignment="1">
      <alignment vertical="center"/>
    </xf>
    <xf numFmtId="0" fontId="23" fillId="0" borderId="0" xfId="0" applyFont="1" applyBorder="1" applyAlignment="1">
      <alignment vertical="center"/>
    </xf>
    <xf numFmtId="0" fontId="19" fillId="0" borderId="0" xfId="0" applyFont="1" applyBorder="1" applyAlignment="1">
      <alignment vertical="center"/>
    </xf>
    <xf numFmtId="0" fontId="23" fillId="0" borderId="25" xfId="0" applyFont="1" applyBorder="1" applyAlignment="1">
      <alignment horizontal="center" vertical="center"/>
    </xf>
    <xf numFmtId="0" fontId="23" fillId="0" borderId="48" xfId="0" applyFont="1" applyBorder="1" applyAlignment="1">
      <alignment vertical="center"/>
    </xf>
    <xf numFmtId="0" fontId="23" fillId="0" borderId="16" xfId="0" applyFont="1" applyBorder="1" applyAlignment="1">
      <alignment vertical="center"/>
    </xf>
    <xf numFmtId="0" fontId="23" fillId="0" borderId="49" xfId="0" applyFont="1" applyBorder="1" applyAlignment="1">
      <alignment vertical="center"/>
    </xf>
    <xf numFmtId="0" fontId="23" fillId="0" borderId="50" xfId="0" applyFont="1" applyBorder="1" applyAlignment="1">
      <alignment vertical="center"/>
    </xf>
    <xf numFmtId="0" fontId="23" fillId="0" borderId="51" xfId="0" applyFont="1" applyBorder="1" applyAlignment="1">
      <alignment vertical="center"/>
    </xf>
    <xf numFmtId="0" fontId="19" fillId="0" borderId="51" xfId="0" applyFont="1" applyBorder="1" applyAlignment="1">
      <alignment vertical="center"/>
    </xf>
    <xf numFmtId="0" fontId="23" fillId="0" borderId="52" xfId="0" applyFont="1" applyBorder="1" applyAlignment="1">
      <alignment vertical="center"/>
    </xf>
    <xf numFmtId="0" fontId="23" fillId="0" borderId="53" xfId="0" applyFont="1" applyBorder="1" applyAlignment="1">
      <alignment vertical="center"/>
    </xf>
    <xf numFmtId="0" fontId="23" fillId="0" borderId="54" xfId="0" applyFont="1" applyBorder="1" applyAlignment="1">
      <alignment vertical="center"/>
    </xf>
    <xf numFmtId="0" fontId="23" fillId="0" borderId="33" xfId="0" applyFont="1" applyBorder="1" applyAlignment="1">
      <alignment vertical="center"/>
    </xf>
    <xf numFmtId="0" fontId="23" fillId="0" borderId="55" xfId="0" applyFont="1" applyBorder="1" applyAlignment="1">
      <alignment vertical="center"/>
    </xf>
    <xf numFmtId="0" fontId="23" fillId="0" borderId="56" xfId="0" applyFont="1" applyBorder="1" applyAlignment="1">
      <alignment vertical="center"/>
    </xf>
    <xf numFmtId="0" fontId="23" fillId="0" borderId="35" xfId="0" applyFont="1" applyBorder="1" applyAlignment="1">
      <alignment vertical="center"/>
    </xf>
    <xf numFmtId="0" fontId="34" fillId="0" borderId="57" xfId="0" applyFont="1" applyBorder="1" applyAlignment="1">
      <alignment horizontal="left" vertical="center"/>
    </xf>
    <xf numFmtId="0" fontId="34" fillId="0" borderId="58" xfId="0" applyFont="1" applyBorder="1" applyAlignment="1">
      <alignment horizontal="right" vertical="center"/>
    </xf>
    <xf numFmtId="187" fontId="34" fillId="0" borderId="58" xfId="0" applyNumberFormat="1" applyFont="1" applyBorder="1" applyAlignment="1">
      <alignment vertical="center"/>
    </xf>
    <xf numFmtId="0" fontId="34" fillId="0" borderId="52" xfId="0" applyFont="1" applyBorder="1" applyAlignment="1">
      <alignment vertical="center"/>
    </xf>
    <xf numFmtId="0" fontId="23" fillId="0" borderId="59" xfId="0" applyFont="1" applyBorder="1" applyAlignment="1">
      <alignment vertical="center"/>
    </xf>
    <xf numFmtId="0" fontId="23" fillId="0" borderId="60" xfId="0" applyFont="1" applyBorder="1" applyAlignment="1">
      <alignment vertical="center"/>
    </xf>
    <xf numFmtId="0" fontId="23" fillId="0" borderId="61" xfId="0" applyFont="1" applyBorder="1" applyAlignment="1">
      <alignment vertical="center"/>
    </xf>
    <xf numFmtId="0" fontId="23" fillId="0" borderId="62" xfId="0" applyFont="1" applyBorder="1" applyAlignment="1">
      <alignment vertical="center"/>
    </xf>
    <xf numFmtId="0" fontId="23" fillId="0" borderId="63" xfId="0" applyFont="1" applyBorder="1" applyAlignment="1">
      <alignment vertical="center"/>
    </xf>
    <xf numFmtId="0" fontId="23" fillId="0" borderId="0" xfId="0" applyFont="1" applyBorder="1" applyAlignment="1">
      <alignment vertical="center"/>
    </xf>
    <xf numFmtId="0" fontId="31" fillId="0" borderId="54" xfId="0" applyFont="1" applyBorder="1" applyAlignment="1">
      <alignment vertical="center"/>
    </xf>
    <xf numFmtId="0" fontId="23" fillId="0" borderId="0" xfId="0" applyFont="1" applyBorder="1" applyAlignment="1">
      <alignment horizontal="right" vertical="center"/>
    </xf>
    <xf numFmtId="0" fontId="27" fillId="0" borderId="25" xfId="0" applyFont="1" applyBorder="1" applyAlignment="1">
      <alignment horizontal="center" vertical="center"/>
    </xf>
    <xf numFmtId="0" fontId="27" fillId="0" borderId="25" xfId="0" applyFont="1" applyBorder="1" applyAlignment="1">
      <alignment vertical="center"/>
    </xf>
    <xf numFmtId="0" fontId="27" fillId="0" borderId="64" xfId="0" applyFont="1" applyBorder="1" applyAlignment="1">
      <alignment vertical="center"/>
    </xf>
    <xf numFmtId="0" fontId="0" fillId="0" borderId="65" xfId="0" applyBorder="1" applyAlignment="1">
      <alignment vertical="center"/>
    </xf>
    <xf numFmtId="0" fontId="0" fillId="0" borderId="64" xfId="0" applyBorder="1" applyAlignment="1">
      <alignment vertical="center"/>
    </xf>
    <xf numFmtId="0" fontId="23" fillId="0" borderId="65" xfId="0" applyFont="1" applyBorder="1" applyAlignment="1">
      <alignment vertical="center"/>
    </xf>
    <xf numFmtId="0" fontId="23" fillId="0" borderId="64" xfId="0" applyFont="1" applyBorder="1" applyAlignment="1">
      <alignment vertical="center"/>
    </xf>
    <xf numFmtId="0" fontId="27" fillId="0" borderId="65" xfId="0" applyFont="1" applyBorder="1" applyAlignment="1">
      <alignment vertical="center"/>
    </xf>
    <xf numFmtId="0" fontId="27" fillId="0" borderId="25" xfId="0" applyFont="1" applyBorder="1" applyAlignment="1">
      <alignment vertical="center"/>
    </xf>
    <xf numFmtId="0" fontId="33" fillId="0" borderId="0" xfId="0" applyFont="1" applyBorder="1" applyAlignment="1">
      <alignment horizontal="center" vertical="center"/>
    </xf>
    <xf numFmtId="0" fontId="27" fillId="0" borderId="54" xfId="0" applyFont="1" applyBorder="1" applyAlignment="1">
      <alignment horizontal="center" vertical="center"/>
    </xf>
    <xf numFmtId="0" fontId="27" fillId="0" borderId="66" xfId="0" applyFont="1" applyBorder="1" applyAlignment="1">
      <alignment horizontal="center" vertical="center"/>
    </xf>
    <xf numFmtId="3" fontId="65" fillId="0" borderId="67" xfId="0" applyNumberFormat="1" applyFont="1" applyBorder="1" applyAlignment="1">
      <alignment horizontal="left" vertical="center"/>
    </xf>
    <xf numFmtId="0" fontId="65" fillId="0" borderId="68" xfId="0" applyFont="1" applyBorder="1" applyAlignment="1">
      <alignment horizontal="right" vertical="center"/>
    </xf>
    <xf numFmtId="0" fontId="65" fillId="0" borderId="69" xfId="0" applyFont="1" applyBorder="1" applyAlignment="1">
      <alignment vertical="center"/>
    </xf>
    <xf numFmtId="0" fontId="65" fillId="0" borderId="48" xfId="0" applyFont="1" applyBorder="1" applyAlignment="1">
      <alignment vertical="center"/>
    </xf>
    <xf numFmtId="0" fontId="65" fillId="0" borderId="16" xfId="0" applyFont="1" applyBorder="1" applyAlignment="1">
      <alignment vertical="center"/>
    </xf>
    <xf numFmtId="0" fontId="65" fillId="0" borderId="49" xfId="0" applyFont="1" applyBorder="1" applyAlignment="1">
      <alignment vertical="center"/>
    </xf>
    <xf numFmtId="0" fontId="65" fillId="0" borderId="70" xfId="0" applyFont="1" applyBorder="1" applyAlignment="1">
      <alignment vertical="center"/>
    </xf>
    <xf numFmtId="0" fontId="65" fillId="0" borderId="12" xfId="0" applyFont="1" applyBorder="1" applyAlignment="1">
      <alignment horizontal="left" vertical="center"/>
    </xf>
    <xf numFmtId="0" fontId="66" fillId="0" borderId="0" xfId="0" applyFont="1" applyAlignment="1">
      <alignment vertical="center"/>
    </xf>
    <xf numFmtId="0" fontId="65" fillId="0" borderId="0" xfId="0" applyFont="1" applyAlignment="1">
      <alignment vertical="center"/>
    </xf>
    <xf numFmtId="0" fontId="65" fillId="0" borderId="0" xfId="0" applyFont="1" applyBorder="1" applyAlignment="1">
      <alignment horizontal="right" vertical="center"/>
    </xf>
    <xf numFmtId="0" fontId="67" fillId="0" borderId="0" xfId="0" applyFont="1" applyAlignment="1">
      <alignment vertical="center"/>
    </xf>
    <xf numFmtId="0" fontId="65" fillId="0" borderId="0" xfId="0" applyFont="1" applyBorder="1" applyAlignment="1">
      <alignment vertical="center"/>
    </xf>
    <xf numFmtId="0" fontId="38" fillId="0" borderId="0" xfId="0" applyFont="1" applyBorder="1" applyAlignment="1">
      <alignment vertical="center"/>
    </xf>
    <xf numFmtId="0" fontId="23" fillId="0" borderId="25" xfId="0" applyFont="1" applyBorder="1" applyAlignment="1">
      <alignment vertical="center" shrinkToFit="1"/>
    </xf>
    <xf numFmtId="0" fontId="23" fillId="0" borderId="65" xfId="0" applyFont="1" applyBorder="1" applyAlignment="1">
      <alignment vertical="center" shrinkToFit="1"/>
    </xf>
    <xf numFmtId="0" fontId="23" fillId="0" borderId="65" xfId="0" applyFont="1" applyBorder="1" applyAlignment="1">
      <alignment horizontal="right" vertical="center" shrinkToFit="1"/>
    </xf>
    <xf numFmtId="0" fontId="23" fillId="0" borderId="64" xfId="0" applyFont="1" applyBorder="1" applyAlignment="1">
      <alignment vertical="center" shrinkToFit="1"/>
    </xf>
    <xf numFmtId="0" fontId="23" fillId="0" borderId="25" xfId="0" applyFont="1" applyBorder="1" applyAlignment="1">
      <alignment horizontal="right" vertical="center" shrinkToFit="1"/>
    </xf>
    <xf numFmtId="0" fontId="23" fillId="0" borderId="65" xfId="0" applyFont="1" applyBorder="1" applyAlignment="1">
      <alignment horizontal="left" vertical="center" shrinkToFit="1"/>
    </xf>
    <xf numFmtId="5" fontId="23" fillId="0" borderId="25" xfId="0" applyNumberFormat="1" applyFont="1" applyBorder="1" applyAlignment="1">
      <alignment vertical="center"/>
    </xf>
    <xf numFmtId="5" fontId="23" fillId="0" borderId="65" xfId="0" applyNumberFormat="1" applyFont="1" applyBorder="1" applyAlignment="1">
      <alignment vertical="center"/>
    </xf>
    <xf numFmtId="5" fontId="23" fillId="0" borderId="64" xfId="0" applyNumberFormat="1" applyFont="1" applyBorder="1" applyAlignment="1">
      <alignment vertical="center"/>
    </xf>
    <xf numFmtId="0" fontId="68" fillId="0" borderId="28" xfId="0" applyFont="1" applyBorder="1" applyAlignment="1">
      <alignment horizontal="center" vertical="center"/>
    </xf>
    <xf numFmtId="3" fontId="45" fillId="0" borderId="56" xfId="0" applyNumberFormat="1" applyFont="1" applyBorder="1" applyAlignment="1">
      <alignment vertical="center"/>
    </xf>
    <xf numFmtId="3" fontId="45" fillId="0" borderId="35" xfId="0" applyNumberFormat="1" applyFont="1" applyBorder="1" applyAlignment="1">
      <alignment vertical="center"/>
    </xf>
    <xf numFmtId="187" fontId="65" fillId="0" borderId="12" xfId="0" applyNumberFormat="1" applyFont="1" applyBorder="1" applyAlignment="1">
      <alignment vertical="center"/>
    </xf>
    <xf numFmtId="187" fontId="65" fillId="0" borderId="50" xfId="0" applyNumberFormat="1" applyFont="1" applyBorder="1" applyAlignment="1">
      <alignment vertical="center"/>
    </xf>
    <xf numFmtId="0" fontId="34" fillId="0" borderId="58" xfId="0" applyFont="1" applyBorder="1" applyAlignment="1">
      <alignment vertical="center"/>
    </xf>
    <xf numFmtId="0" fontId="31" fillId="0" borderId="0" xfId="0" applyFont="1" applyBorder="1" applyAlignment="1">
      <alignment vertical="center"/>
    </xf>
    <xf numFmtId="0" fontId="0" fillId="0" borderId="54" xfId="0" applyFont="1" applyFill="1" applyBorder="1" applyAlignment="1">
      <alignment horizontal="left" vertical="center"/>
    </xf>
    <xf numFmtId="0" fontId="21" fillId="0" borderId="0" xfId="0" applyFont="1" applyFill="1" applyBorder="1" applyAlignment="1">
      <alignment horizontal="center" vertical="center"/>
    </xf>
    <xf numFmtId="0" fontId="21" fillId="0" borderId="54" xfId="0" applyFont="1" applyFill="1" applyBorder="1" applyAlignment="1">
      <alignment horizontal="center" vertical="center"/>
    </xf>
    <xf numFmtId="0" fontId="0" fillId="0" borderId="0" xfId="0" applyFont="1" applyFill="1" applyBorder="1" applyAlignment="1">
      <alignment vertical="center"/>
    </xf>
    <xf numFmtId="0" fontId="0" fillId="0" borderId="56" xfId="0" applyFont="1" applyFill="1" applyBorder="1" applyAlignment="1">
      <alignment vertical="center"/>
    </xf>
    <xf numFmtId="0" fontId="0" fillId="31" borderId="65" xfId="0" applyFont="1" applyFill="1" applyBorder="1" applyAlignment="1">
      <alignment vertical="center"/>
    </xf>
    <xf numFmtId="0" fontId="0" fillId="0" borderId="71" xfId="0" applyFont="1" applyBorder="1" applyAlignment="1">
      <alignment horizontal="center" vertical="center"/>
    </xf>
    <xf numFmtId="0" fontId="21" fillId="31" borderId="56" xfId="0" applyFont="1" applyFill="1" applyBorder="1" applyAlignment="1">
      <alignment horizontal="center" vertical="center"/>
    </xf>
    <xf numFmtId="0" fontId="0" fillId="31" borderId="56" xfId="0" applyFont="1" applyFill="1" applyBorder="1" applyAlignment="1">
      <alignment horizontal="left" vertical="center"/>
    </xf>
    <xf numFmtId="0" fontId="21" fillId="31" borderId="65" xfId="0" applyFont="1" applyFill="1" applyBorder="1" applyAlignment="1">
      <alignment horizontal="center" vertical="center"/>
    </xf>
    <xf numFmtId="0" fontId="0" fillId="31" borderId="65" xfId="0" applyFont="1" applyFill="1" applyBorder="1" applyAlignment="1">
      <alignment horizontal="left" vertical="center"/>
    </xf>
    <xf numFmtId="0" fontId="21" fillId="31" borderId="54" xfId="0" applyFont="1" applyFill="1" applyBorder="1" applyAlignment="1">
      <alignment horizontal="center" vertical="center"/>
    </xf>
    <xf numFmtId="0" fontId="19" fillId="0" borderId="54" xfId="0" applyFont="1" applyBorder="1" applyAlignment="1">
      <alignment horizontal="center" vertical="center"/>
    </xf>
    <xf numFmtId="0" fontId="21" fillId="0" borderId="65" xfId="0" applyFont="1" applyFill="1" applyBorder="1" applyAlignment="1">
      <alignment horizontal="center" vertical="center"/>
    </xf>
    <xf numFmtId="0" fontId="0" fillId="0" borderId="64" xfId="0" applyFont="1" applyFill="1" applyBorder="1" applyAlignment="1">
      <alignment horizontal="left" vertical="center"/>
    </xf>
    <xf numFmtId="0" fontId="19" fillId="31" borderId="56" xfId="0" applyFont="1" applyFill="1" applyBorder="1" applyAlignment="1">
      <alignment vertical="center" wrapText="1"/>
    </xf>
    <xf numFmtId="0" fontId="19" fillId="31" borderId="35" xfId="0" applyFont="1" applyFill="1" applyBorder="1" applyAlignment="1">
      <alignment vertical="center" wrapText="1"/>
    </xf>
    <xf numFmtId="0" fontId="0" fillId="31" borderId="72" xfId="0" applyFont="1" applyFill="1" applyBorder="1" applyAlignment="1">
      <alignment vertical="center"/>
    </xf>
    <xf numFmtId="0" fontId="69" fillId="31" borderId="34" xfId="0" applyFont="1" applyFill="1" applyBorder="1" applyAlignment="1">
      <alignment horizontal="left" vertical="center"/>
    </xf>
    <xf numFmtId="0" fontId="70" fillId="31" borderId="65" xfId="0" applyFont="1" applyFill="1" applyBorder="1" applyAlignment="1">
      <alignment horizontal="center" vertical="center"/>
    </xf>
    <xf numFmtId="0" fontId="19" fillId="0" borderId="56" xfId="0" applyFont="1" applyBorder="1" applyAlignment="1">
      <alignment horizontal="center" vertical="center"/>
    </xf>
    <xf numFmtId="0" fontId="0" fillId="0" borderId="55" xfId="0" applyFont="1" applyFill="1" applyBorder="1" applyAlignment="1">
      <alignment horizontal="left" vertical="center"/>
    </xf>
    <xf numFmtId="0" fontId="0" fillId="0" borderId="53" xfId="0" applyFont="1" applyFill="1" applyBorder="1" applyAlignment="1">
      <alignment horizontal="left" vertical="center"/>
    </xf>
    <xf numFmtId="0" fontId="0" fillId="31" borderId="0" xfId="0" applyFont="1" applyFill="1" applyBorder="1" applyAlignment="1">
      <alignment horizontal="left" vertical="center"/>
    </xf>
    <xf numFmtId="0" fontId="0" fillId="0" borderId="73" xfId="0" applyFont="1" applyFill="1" applyBorder="1" applyAlignment="1">
      <alignment horizontal="left" vertical="center"/>
    </xf>
    <xf numFmtId="0" fontId="0" fillId="31" borderId="74" xfId="0" applyFont="1" applyFill="1" applyBorder="1" applyAlignment="1">
      <alignment horizontal="left" vertical="center"/>
    </xf>
    <xf numFmtId="0" fontId="21" fillId="31" borderId="74" xfId="0" applyFont="1" applyFill="1" applyBorder="1" applyAlignment="1">
      <alignment horizontal="center" vertical="center"/>
    </xf>
    <xf numFmtId="0" fontId="19" fillId="0" borderId="74" xfId="0" applyFont="1" applyBorder="1" applyAlignment="1">
      <alignment horizontal="center" vertical="center"/>
    </xf>
    <xf numFmtId="0" fontId="21" fillId="31" borderId="74" xfId="0" applyFont="1" applyFill="1" applyBorder="1" applyAlignment="1">
      <alignment horizontal="left" vertical="center"/>
    </xf>
    <xf numFmtId="0" fontId="21" fillId="32" borderId="59" xfId="0" applyFont="1" applyFill="1" applyBorder="1" applyAlignment="1">
      <alignment horizontal="center" vertical="center"/>
    </xf>
    <xf numFmtId="0" fontId="21" fillId="32" borderId="0" xfId="0" applyFont="1" applyFill="1" applyBorder="1" applyAlignment="1">
      <alignment horizontal="center" vertical="center"/>
    </xf>
    <xf numFmtId="0" fontId="21" fillId="0" borderId="56" xfId="0" applyFont="1" applyFill="1" applyBorder="1" applyAlignment="1">
      <alignment horizontal="center" vertical="center"/>
    </xf>
    <xf numFmtId="0" fontId="21" fillId="32" borderId="65" xfId="0" applyFont="1" applyFill="1" applyBorder="1" applyAlignment="1">
      <alignment horizontal="center" vertical="center"/>
    </xf>
    <xf numFmtId="0" fontId="21" fillId="32" borderId="54"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6" xfId="0" applyFont="1" applyFill="1" applyBorder="1" applyAlignment="1">
      <alignment horizontal="center" vertical="center"/>
    </xf>
    <xf numFmtId="0" fontId="19" fillId="0" borderId="21" xfId="0" applyFont="1" applyBorder="1" applyAlignment="1">
      <alignment vertical="center"/>
    </xf>
    <xf numFmtId="0" fontId="21" fillId="31" borderId="68" xfId="0" applyFont="1" applyFill="1" applyBorder="1" applyAlignment="1">
      <alignment horizontal="left" vertical="center"/>
    </xf>
    <xf numFmtId="0" fontId="0" fillId="31" borderId="58" xfId="0" applyFont="1" applyFill="1" applyBorder="1" applyAlignment="1">
      <alignment horizontal="left" vertical="center"/>
    </xf>
    <xf numFmtId="0" fontId="0" fillId="31" borderId="16" xfId="0" applyFont="1" applyFill="1" applyBorder="1" applyAlignment="1">
      <alignment horizontal="left" vertical="center"/>
    </xf>
    <xf numFmtId="0" fontId="0" fillId="31" borderId="68" xfId="0" applyFont="1" applyFill="1" applyBorder="1" applyAlignment="1">
      <alignment horizontal="left" vertical="center"/>
    </xf>
    <xf numFmtId="0" fontId="0" fillId="31" borderId="68" xfId="0" applyFont="1" applyFill="1" applyBorder="1" applyAlignment="1">
      <alignment horizontal="left" vertical="center"/>
    </xf>
    <xf numFmtId="0" fontId="0" fillId="31" borderId="12" xfId="0" applyFont="1" applyFill="1" applyBorder="1" applyAlignment="1">
      <alignment horizontal="left" vertical="center"/>
    </xf>
    <xf numFmtId="0" fontId="0" fillId="31" borderId="12" xfId="0" applyFont="1" applyFill="1" applyBorder="1" applyAlignment="1">
      <alignment horizontal="left" vertical="center"/>
    </xf>
    <xf numFmtId="0" fontId="0" fillId="31" borderId="16" xfId="0" applyFont="1" applyFill="1" applyBorder="1" applyAlignment="1">
      <alignment horizontal="left" vertical="center"/>
    </xf>
    <xf numFmtId="0" fontId="21" fillId="31" borderId="58" xfId="0" applyFont="1" applyFill="1" applyBorder="1" applyAlignment="1">
      <alignment horizontal="left" vertical="center"/>
    </xf>
    <xf numFmtId="0" fontId="21" fillId="0" borderId="75" xfId="0" applyFont="1" applyFill="1" applyBorder="1" applyAlignment="1">
      <alignment horizontal="center" vertical="center"/>
    </xf>
    <xf numFmtId="0" fontId="21" fillId="31" borderId="76" xfId="0" applyFont="1" applyFill="1" applyBorder="1" applyAlignment="1">
      <alignment vertical="center"/>
    </xf>
    <xf numFmtId="0" fontId="71" fillId="33" borderId="77" xfId="0" applyFont="1" applyFill="1" applyBorder="1" applyAlignment="1">
      <alignment horizontal="left" vertical="center"/>
    </xf>
    <xf numFmtId="0" fontId="71" fillId="33" borderId="77" xfId="0" applyFont="1" applyFill="1" applyBorder="1" applyAlignment="1">
      <alignment horizontal="center" vertical="center"/>
    </xf>
    <xf numFmtId="0" fontId="64" fillId="33" borderId="77" xfId="0" applyFont="1" applyFill="1" applyBorder="1" applyAlignment="1">
      <alignment horizontal="left" vertical="center"/>
    </xf>
    <xf numFmtId="0" fontId="64" fillId="33" borderId="56" xfId="0" applyFont="1" applyFill="1" applyBorder="1" applyAlignment="1">
      <alignment horizontal="left" vertical="center"/>
    </xf>
    <xf numFmtId="0" fontId="71" fillId="33" borderId="56" xfId="0" applyFont="1" applyFill="1" applyBorder="1" applyAlignment="1">
      <alignment horizontal="center" vertical="center"/>
    </xf>
    <xf numFmtId="0" fontId="67" fillId="33" borderId="0" xfId="0" applyFont="1" applyFill="1" applyBorder="1" applyAlignment="1">
      <alignment horizontal="center" vertical="center"/>
    </xf>
    <xf numFmtId="0" fontId="36" fillId="31" borderId="25" xfId="0" applyFont="1" applyFill="1" applyBorder="1" applyAlignment="1">
      <alignment vertical="center"/>
    </xf>
    <xf numFmtId="0" fontId="36" fillId="31" borderId="65" xfId="0" applyFont="1" applyFill="1" applyBorder="1" applyAlignment="1">
      <alignment vertical="center"/>
    </xf>
    <xf numFmtId="0" fontId="21" fillId="31" borderId="54" xfId="0" applyFont="1" applyFill="1" applyBorder="1" applyAlignment="1">
      <alignment horizontal="left" vertical="center"/>
    </xf>
    <xf numFmtId="0" fontId="21" fillId="31" borderId="16" xfId="0" applyFont="1" applyFill="1" applyBorder="1" applyAlignment="1">
      <alignment horizontal="left" vertical="center"/>
    </xf>
    <xf numFmtId="0" fontId="21" fillId="31" borderId="0" xfId="0" applyFont="1" applyFill="1" applyBorder="1" applyAlignment="1">
      <alignment horizontal="left" vertical="center"/>
    </xf>
    <xf numFmtId="0" fontId="0" fillId="31" borderId="58" xfId="0" applyFont="1" applyFill="1" applyBorder="1" applyAlignment="1">
      <alignment horizontal="left" vertical="center"/>
    </xf>
    <xf numFmtId="0" fontId="19" fillId="0" borderId="68" xfId="0" applyFont="1" applyBorder="1" applyAlignment="1">
      <alignment horizontal="left" vertical="center"/>
    </xf>
    <xf numFmtId="0" fontId="21" fillId="31" borderId="12" xfId="0" applyFont="1" applyFill="1" applyBorder="1" applyAlignment="1">
      <alignment horizontal="left" vertical="center"/>
    </xf>
    <xf numFmtId="0" fontId="19" fillId="0" borderId="12" xfId="0" applyFont="1" applyBorder="1" applyAlignment="1">
      <alignment horizontal="left" vertical="center"/>
    </xf>
    <xf numFmtId="0" fontId="19" fillId="0" borderId="58" xfId="0" applyFont="1" applyBorder="1" applyAlignment="1">
      <alignment horizontal="left" vertical="center"/>
    </xf>
    <xf numFmtId="0" fontId="21" fillId="0" borderId="12" xfId="0" applyFont="1" applyFill="1" applyBorder="1" applyAlignment="1">
      <alignment horizontal="left" vertical="center"/>
    </xf>
    <xf numFmtId="0" fontId="21" fillId="0" borderId="16" xfId="0" applyFont="1" applyFill="1" applyBorder="1" applyAlignment="1">
      <alignment horizontal="left" vertical="center"/>
    </xf>
    <xf numFmtId="0" fontId="21" fillId="0" borderId="58" xfId="0" applyFont="1" applyFill="1" applyBorder="1" applyAlignment="1">
      <alignment horizontal="left" vertical="center"/>
    </xf>
    <xf numFmtId="0" fontId="19" fillId="0" borderId="16" xfId="0" applyFont="1" applyBorder="1" applyAlignment="1">
      <alignment horizontal="left" vertical="center"/>
    </xf>
    <xf numFmtId="0" fontId="35" fillId="31" borderId="58" xfId="0" applyFont="1" applyFill="1" applyBorder="1" applyAlignment="1">
      <alignment horizontal="left" vertical="center"/>
    </xf>
    <xf numFmtId="0" fontId="21" fillId="31" borderId="23" xfId="0" applyFont="1" applyFill="1" applyBorder="1" applyAlignment="1">
      <alignment horizontal="left" vertical="center"/>
    </xf>
    <xf numFmtId="0" fontId="0" fillId="31" borderId="23" xfId="0" applyFont="1" applyFill="1" applyBorder="1" applyAlignment="1">
      <alignment horizontal="left" vertical="center"/>
    </xf>
    <xf numFmtId="0" fontId="0" fillId="31" borderId="23" xfId="0" applyFont="1" applyFill="1" applyBorder="1" applyAlignment="1">
      <alignment horizontal="left" vertical="center"/>
    </xf>
    <xf numFmtId="0" fontId="19" fillId="0" borderId="23" xfId="0" applyFont="1" applyBorder="1" applyAlignment="1">
      <alignment horizontal="left" vertical="center"/>
    </xf>
    <xf numFmtId="0" fontId="35" fillId="31" borderId="12" xfId="0" applyFont="1" applyFill="1" applyBorder="1" applyAlignment="1">
      <alignment horizontal="left" vertical="center"/>
    </xf>
    <xf numFmtId="181" fontId="21" fillId="0" borderId="0" xfId="0" applyNumberFormat="1" applyFont="1" applyBorder="1" applyAlignment="1">
      <alignment horizontal="left" vertical="center"/>
    </xf>
    <xf numFmtId="0" fontId="21" fillId="13" borderId="11" xfId="0" applyNumberFormat="1" applyFont="1" applyFill="1" applyBorder="1" applyAlignment="1">
      <alignment horizontal="left" vertical="center"/>
    </xf>
    <xf numFmtId="0" fontId="21" fillId="13" borderId="12" xfId="0" applyNumberFormat="1" applyFont="1" applyFill="1" applyBorder="1" applyAlignment="1">
      <alignment horizontal="left" vertical="center"/>
    </xf>
    <xf numFmtId="0" fontId="21" fillId="13" borderId="13" xfId="0" applyNumberFormat="1" applyFont="1" applyFill="1" applyBorder="1" applyAlignment="1">
      <alignment horizontal="lef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5" xfId="0" applyBorder="1" applyAlignment="1">
      <alignment horizontal="center" vertical="center"/>
    </xf>
    <xf numFmtId="0" fontId="0" fillId="0" borderId="65" xfId="0" applyBorder="1" applyAlignment="1">
      <alignment horizontal="center" vertical="center"/>
    </xf>
    <xf numFmtId="0" fontId="0" fillId="0" borderId="64" xfId="0" applyBorder="1" applyAlignment="1">
      <alignment horizontal="center" vertical="center"/>
    </xf>
    <xf numFmtId="0" fontId="25" fillId="5" borderId="53" xfId="0" applyFont="1" applyFill="1" applyBorder="1" applyAlignment="1">
      <alignment horizontal="center" vertical="center"/>
    </xf>
    <xf numFmtId="0" fontId="25" fillId="5" borderId="46" xfId="0" applyFont="1" applyFill="1" applyBorder="1" applyAlignment="1">
      <alignment horizontal="center" vertical="center"/>
    </xf>
    <xf numFmtId="0" fontId="25" fillId="5" borderId="55" xfId="0" applyFont="1" applyFill="1" applyBorder="1" applyAlignment="1">
      <alignment horizontal="center" vertical="center"/>
    </xf>
    <xf numFmtId="0" fontId="25" fillId="8" borderId="53" xfId="0" applyFont="1" applyFill="1" applyBorder="1" applyAlignment="1">
      <alignment horizontal="center" vertical="center"/>
    </xf>
    <xf numFmtId="0" fontId="25" fillId="8" borderId="46" xfId="0" applyFont="1" applyFill="1" applyBorder="1" applyAlignment="1">
      <alignment horizontal="center" vertical="center"/>
    </xf>
    <xf numFmtId="0" fontId="25" fillId="8" borderId="55" xfId="0" applyFont="1" applyFill="1" applyBorder="1" applyAlignment="1">
      <alignment horizontal="center" vertical="center"/>
    </xf>
    <xf numFmtId="0" fontId="25" fillId="10" borderId="53" xfId="0" applyFont="1" applyFill="1" applyBorder="1" applyAlignment="1">
      <alignment horizontal="center" vertical="center"/>
    </xf>
    <xf numFmtId="0" fontId="25" fillId="10" borderId="46" xfId="0" applyFont="1" applyFill="1" applyBorder="1" applyAlignment="1">
      <alignment horizontal="center" vertical="center"/>
    </xf>
    <xf numFmtId="0" fontId="25" fillId="10" borderId="55" xfId="0" applyFont="1" applyFill="1" applyBorder="1" applyAlignment="1">
      <alignment horizontal="center" vertical="center"/>
    </xf>
    <xf numFmtId="0" fontId="25" fillId="0" borderId="53" xfId="0" applyFont="1" applyBorder="1" applyAlignment="1">
      <alignment horizontal="center" vertical="center"/>
    </xf>
    <xf numFmtId="0" fontId="25" fillId="0" borderId="46" xfId="0" applyFont="1" applyBorder="1" applyAlignment="1">
      <alignment horizontal="center" vertical="center"/>
    </xf>
    <xf numFmtId="0" fontId="25" fillId="0" borderId="55" xfId="0" applyFont="1" applyBorder="1" applyAlignment="1">
      <alignment horizontal="center" vertical="center"/>
    </xf>
    <xf numFmtId="0" fontId="25" fillId="24" borderId="53" xfId="0" applyFont="1" applyFill="1" applyBorder="1" applyAlignment="1">
      <alignment horizontal="center" vertical="center"/>
    </xf>
    <xf numFmtId="0" fontId="25" fillId="24" borderId="46" xfId="0" applyFont="1" applyFill="1" applyBorder="1" applyAlignment="1">
      <alignment horizontal="center" vertical="center"/>
    </xf>
    <xf numFmtId="0" fontId="25" fillId="24" borderId="55" xfId="0" applyFont="1" applyFill="1" applyBorder="1" applyAlignment="1">
      <alignment horizontal="center" vertical="center"/>
    </xf>
    <xf numFmtId="49" fontId="25" fillId="0" borderId="14" xfId="0" applyNumberFormat="1" applyFont="1" applyFill="1" applyBorder="1" applyAlignment="1">
      <alignment horizontal="center" vertical="center" wrapText="1"/>
    </xf>
    <xf numFmtId="49" fontId="25" fillId="0" borderId="14" xfId="0" applyNumberFormat="1" applyFont="1" applyBorder="1" applyAlignment="1">
      <alignment horizontal="center" vertical="center" wrapText="1"/>
    </xf>
    <xf numFmtId="0" fontId="25" fillId="0" borderId="14" xfId="0" applyNumberFormat="1" applyFont="1" applyFill="1" applyBorder="1" applyAlignment="1">
      <alignment horizontal="left" vertical="center" wrapText="1"/>
    </xf>
    <xf numFmtId="0" fontId="21" fillId="27" borderId="14" xfId="0" applyFont="1" applyFill="1" applyBorder="1" applyAlignment="1">
      <alignment horizontal="left" vertical="center" wrapText="1"/>
    </xf>
    <xf numFmtId="0" fontId="21" fillId="5" borderId="14" xfId="0" applyFont="1" applyFill="1" applyBorder="1" applyAlignment="1">
      <alignment horizontal="left" vertical="center"/>
    </xf>
    <xf numFmtId="0" fontId="25" fillId="27" borderId="14" xfId="0" applyFont="1" applyFill="1" applyBorder="1" applyAlignment="1">
      <alignment horizontal="left" vertical="center"/>
    </xf>
    <xf numFmtId="0" fontId="21" fillId="7" borderId="14" xfId="0" applyFont="1" applyFill="1" applyBorder="1" applyAlignment="1">
      <alignment horizontal="left" vertical="center"/>
    </xf>
    <xf numFmtId="49" fontId="25" fillId="5" borderId="14" xfId="0" applyNumberFormat="1" applyFont="1" applyFill="1" applyBorder="1" applyAlignment="1">
      <alignment horizontal="left" vertical="center"/>
    </xf>
    <xf numFmtId="49" fontId="25" fillId="11" borderId="14" xfId="0" applyNumberFormat="1" applyFont="1" applyFill="1" applyBorder="1" applyAlignment="1">
      <alignment horizontal="left" vertical="center"/>
    </xf>
    <xf numFmtId="0" fontId="21" fillId="0" borderId="14" xfId="0" applyNumberFormat="1" applyFont="1" applyFill="1" applyBorder="1" applyAlignment="1">
      <alignment horizontal="left" vertical="center" wrapText="1"/>
    </xf>
    <xf numFmtId="0" fontId="21" fillId="22" borderId="14" xfId="0" applyFont="1" applyFill="1" applyBorder="1" applyAlignment="1">
      <alignment horizontal="left" vertical="center" wrapText="1"/>
    </xf>
    <xf numFmtId="0" fontId="21" fillId="26" borderId="14" xfId="0" applyFont="1" applyFill="1" applyBorder="1" applyAlignment="1">
      <alignment horizontal="left" vertical="center"/>
    </xf>
    <xf numFmtId="0" fontId="21" fillId="8" borderId="14" xfId="0" applyNumberFormat="1" applyFont="1" applyFill="1" applyBorder="1" applyAlignment="1">
      <alignment horizontal="left" vertical="center"/>
    </xf>
    <xf numFmtId="0" fontId="21" fillId="24" borderId="14" xfId="0" applyFont="1" applyFill="1" applyBorder="1" applyAlignment="1">
      <alignment horizontal="left" vertical="center"/>
    </xf>
    <xf numFmtId="49" fontId="0" fillId="27" borderId="14" xfId="0" applyNumberFormat="1" applyFill="1" applyBorder="1" applyAlignment="1">
      <alignment horizontal="center" vertical="center" wrapText="1"/>
    </xf>
    <xf numFmtId="49" fontId="3" fillId="27" borderId="14" xfId="0" applyNumberFormat="1" applyFont="1" applyFill="1" applyBorder="1" applyAlignment="1">
      <alignment horizontal="center" vertical="center" wrapText="1"/>
    </xf>
    <xf numFmtId="49" fontId="25" fillId="27" borderId="14" xfId="0" applyNumberFormat="1" applyFont="1" applyFill="1" applyBorder="1" applyAlignment="1">
      <alignment horizontal="center" vertical="center" wrapText="1"/>
    </xf>
    <xf numFmtId="0" fontId="0" fillId="0" borderId="23" xfId="0" applyFont="1" applyBorder="1" applyAlignment="1">
      <alignment horizontal="left" vertical="center" wrapText="1"/>
    </xf>
    <xf numFmtId="0" fontId="0" fillId="0" borderId="58" xfId="0" applyFont="1" applyBorder="1" applyAlignment="1">
      <alignment horizontal="left" vertical="center" wrapText="1"/>
    </xf>
    <xf numFmtId="0" fontId="0" fillId="0" borderId="68" xfId="0" applyFont="1" applyBorder="1" applyAlignment="1">
      <alignment horizontal="left" vertical="center" wrapText="1"/>
    </xf>
    <xf numFmtId="0" fontId="0" fillId="0" borderId="12" xfId="0" applyFont="1" applyBorder="1" applyAlignment="1">
      <alignment horizontal="left" vertical="center" wrapText="1"/>
    </xf>
    <xf numFmtId="0" fontId="0" fillId="0" borderId="16" xfId="0" applyFont="1" applyBorder="1" applyAlignment="1">
      <alignment horizontal="left" vertical="center" wrapText="1"/>
    </xf>
    <xf numFmtId="0" fontId="39" fillId="0" borderId="0" xfId="0" applyFont="1" applyAlignment="1">
      <alignment horizontal="left" vertical="center"/>
    </xf>
    <xf numFmtId="0" fontId="37" fillId="0" borderId="0" xfId="0" applyFont="1" applyAlignment="1">
      <alignment horizontal="left" vertical="center"/>
    </xf>
    <xf numFmtId="0" fontId="19" fillId="31" borderId="78" xfId="0" applyFont="1" applyFill="1" applyBorder="1" applyAlignment="1">
      <alignment horizontal="center" vertical="center" wrapText="1"/>
    </xf>
    <xf numFmtId="0" fontId="19" fillId="31" borderId="79" xfId="0" applyFont="1" applyFill="1" applyBorder="1" applyAlignment="1">
      <alignment horizontal="center" vertical="center" wrapText="1"/>
    </xf>
    <xf numFmtId="0" fontId="0" fillId="31" borderId="25" xfId="0" applyFont="1" applyFill="1" applyBorder="1" applyAlignment="1">
      <alignment horizontal="right" vertical="center"/>
    </xf>
    <xf numFmtId="0" fontId="0" fillId="31" borderId="65" xfId="0" applyFont="1" applyFill="1" applyBorder="1" applyAlignment="1">
      <alignment horizontal="right" vertical="center"/>
    </xf>
    <xf numFmtId="0" fontId="39" fillId="0" borderId="80" xfId="0" applyFont="1" applyBorder="1" applyAlignment="1">
      <alignment horizontal="left" vertical="center"/>
    </xf>
    <xf numFmtId="0" fontId="21" fillId="31" borderId="81" xfId="0" applyFont="1" applyFill="1" applyBorder="1" applyAlignment="1">
      <alignment horizontal="left" vertical="center"/>
    </xf>
    <xf numFmtId="0" fontId="21" fillId="31" borderId="78" xfId="0" applyFont="1" applyFill="1" applyBorder="1" applyAlignment="1">
      <alignment horizontal="left" vertical="center"/>
    </xf>
    <xf numFmtId="0" fontId="19" fillId="0" borderId="82" xfId="0" applyFont="1" applyBorder="1" applyAlignment="1">
      <alignment vertical="center"/>
    </xf>
    <xf numFmtId="0" fontId="19" fillId="0" borderId="77" xfId="0" applyFont="1" applyBorder="1" applyAlignment="1">
      <alignment vertical="center"/>
    </xf>
    <xf numFmtId="0" fontId="60" fillId="33" borderId="83" xfId="0" applyFont="1" applyFill="1" applyBorder="1" applyAlignment="1">
      <alignment horizontal="center" vertical="center"/>
    </xf>
    <xf numFmtId="0" fontId="60" fillId="33" borderId="71" xfId="0" applyFont="1" applyFill="1" applyBorder="1" applyAlignment="1">
      <alignment horizontal="center" vertical="center"/>
    </xf>
    <xf numFmtId="0" fontId="60" fillId="33" borderId="84" xfId="0" applyFont="1" applyFill="1" applyBorder="1" applyAlignment="1">
      <alignment horizontal="center" vertical="center"/>
    </xf>
    <xf numFmtId="0" fontId="19" fillId="0" borderId="77" xfId="0" applyFont="1" applyBorder="1" applyAlignment="1">
      <alignment horizontal="center" vertical="center"/>
    </xf>
    <xf numFmtId="0" fontId="19" fillId="31" borderId="65" xfId="0" applyFont="1" applyFill="1" applyBorder="1" applyAlignment="1">
      <alignment horizontal="center" vertical="center" wrapText="1"/>
    </xf>
    <xf numFmtId="0" fontId="19" fillId="31" borderId="64" xfId="0" applyFont="1" applyFill="1" applyBorder="1" applyAlignment="1">
      <alignment horizontal="center" vertical="center" wrapText="1"/>
    </xf>
    <xf numFmtId="0" fontId="19" fillId="31" borderId="76" xfId="0" applyFont="1" applyFill="1" applyBorder="1" applyAlignment="1">
      <alignment horizontal="center" vertical="center" wrapText="1"/>
    </xf>
    <xf numFmtId="0" fontId="19" fillId="31" borderId="85" xfId="0" applyFont="1" applyFill="1" applyBorder="1" applyAlignment="1">
      <alignment horizontal="center" vertical="center" wrapText="1"/>
    </xf>
    <xf numFmtId="0" fontId="37" fillId="0" borderId="0" xfId="0" applyFont="1" applyAlignment="1">
      <alignment horizontal="center" vertical="center"/>
    </xf>
    <xf numFmtId="0" fontId="37" fillId="0" borderId="80" xfId="0" applyFont="1" applyBorder="1" applyAlignment="1">
      <alignment horizontal="center" vertical="center"/>
    </xf>
    <xf numFmtId="0" fontId="33" fillId="0" borderId="54" xfId="0" applyFont="1" applyBorder="1" applyAlignment="1">
      <alignment horizontal="center" vertical="center" shrinkToFit="1"/>
    </xf>
    <xf numFmtId="0" fontId="27" fillId="0" borderId="54" xfId="0" applyFont="1" applyBorder="1" applyAlignment="1">
      <alignment horizontal="center" vertical="center"/>
    </xf>
    <xf numFmtId="0" fontId="27" fillId="0" borderId="66" xfId="0" applyFont="1" applyBorder="1" applyAlignment="1">
      <alignment horizontal="center" vertical="center"/>
    </xf>
    <xf numFmtId="0" fontId="23" fillId="0" borderId="62" xfId="0" applyFont="1" applyBorder="1" applyAlignment="1">
      <alignment horizontal="right" vertical="center"/>
    </xf>
    <xf numFmtId="0" fontId="0" fillId="0" borderId="66" xfId="0" applyBorder="1" applyAlignment="1">
      <alignment vertical="center"/>
    </xf>
    <xf numFmtId="0" fontId="40" fillId="0" borderId="62" xfId="0" applyFont="1" applyBorder="1" applyAlignment="1">
      <alignment vertical="center"/>
    </xf>
    <xf numFmtId="0" fontId="23" fillId="0" borderId="66" xfId="0" applyFont="1" applyBorder="1" applyAlignment="1">
      <alignment vertical="center"/>
    </xf>
    <xf numFmtId="0" fontId="40" fillId="0" borderId="62" xfId="0" applyFont="1" applyBorder="1" applyAlignment="1">
      <alignment horizontal="center" vertical="center"/>
    </xf>
    <xf numFmtId="0" fontId="40" fillId="0" borderId="66" xfId="0" applyFont="1" applyBorder="1" applyAlignment="1">
      <alignment horizontal="center" vertical="center"/>
    </xf>
    <xf numFmtId="0" fontId="23" fillId="0" borderId="67" xfId="0" applyFont="1" applyBorder="1" applyAlignment="1">
      <alignment vertical="center"/>
    </xf>
    <xf numFmtId="0" fontId="19" fillId="0" borderId="68" xfId="0" applyFont="1" applyBorder="1" applyAlignment="1">
      <alignment vertical="center"/>
    </xf>
    <xf numFmtId="0" fontId="19" fillId="0" borderId="69" xfId="0" applyFont="1" applyBorder="1" applyAlignment="1">
      <alignment vertical="center"/>
    </xf>
    <xf numFmtId="0" fontId="23" fillId="0" borderId="51" xfId="0" applyFont="1" applyBorder="1" applyAlignment="1">
      <alignment vertical="center"/>
    </xf>
    <xf numFmtId="0" fontId="23" fillId="0" borderId="25" xfId="0" applyFont="1" applyBorder="1" applyAlignment="1">
      <alignment horizontal="center"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0" borderId="86" xfId="0" applyFont="1" applyBorder="1" applyAlignment="1">
      <alignment horizontal="center" vertical="center" shrinkToFit="1"/>
    </xf>
    <xf numFmtId="0" fontId="23" fillId="0" borderId="66" xfId="0" applyFont="1" applyBorder="1" applyAlignment="1">
      <alignment horizontal="center" vertical="center" shrinkToFit="1"/>
    </xf>
    <xf numFmtId="0" fontId="23" fillId="0" borderId="87" xfId="0" applyFont="1" applyBorder="1" applyAlignment="1">
      <alignment horizontal="center" vertical="center" shrinkToFit="1"/>
    </xf>
    <xf numFmtId="0" fontId="23" fillId="0" borderId="88" xfId="0" applyFont="1" applyBorder="1" applyAlignment="1">
      <alignment vertical="center"/>
    </xf>
    <xf numFmtId="0" fontId="23" fillId="0" borderId="89" xfId="0" applyFont="1" applyBorder="1" applyAlignment="1">
      <alignment vertical="center"/>
    </xf>
    <xf numFmtId="0" fontId="19" fillId="0" borderId="89" xfId="0" applyFont="1" applyBorder="1" applyAlignment="1">
      <alignment vertical="center"/>
    </xf>
    <xf numFmtId="3" fontId="23" fillId="0" borderId="70" xfId="0" applyNumberFormat="1" applyFont="1" applyBorder="1" applyAlignment="1">
      <alignment horizontal="right" vertical="center"/>
    </xf>
    <xf numFmtId="3" fontId="23" fillId="0" borderId="12" xfId="0" applyNumberFormat="1" applyFont="1" applyBorder="1" applyAlignment="1">
      <alignment horizontal="right" vertical="center"/>
    </xf>
    <xf numFmtId="3" fontId="23" fillId="0" borderId="57" xfId="0" applyNumberFormat="1" applyFont="1" applyBorder="1" applyAlignment="1">
      <alignment horizontal="right" vertical="center"/>
    </xf>
    <xf numFmtId="3" fontId="23" fillId="0" borderId="58" xfId="0" applyNumberFormat="1" applyFont="1" applyBorder="1" applyAlignment="1">
      <alignment horizontal="right" vertical="center"/>
    </xf>
    <xf numFmtId="0" fontId="23" fillId="0" borderId="28" xfId="0" applyFont="1" applyBorder="1" applyAlignment="1">
      <alignment horizontal="left" vertical="center" shrinkToFit="1"/>
    </xf>
    <xf numFmtId="3" fontId="45" fillId="0" borderId="53" xfId="0" applyNumberFormat="1" applyFont="1" applyBorder="1" applyAlignment="1">
      <alignment horizontal="left" vertical="center"/>
    </xf>
    <xf numFmtId="3" fontId="45" fillId="0" borderId="54" xfId="0" applyNumberFormat="1" applyFont="1" applyBorder="1" applyAlignment="1">
      <alignment horizontal="left" vertical="center"/>
    </xf>
    <xf numFmtId="3" fontId="45" fillId="0" borderId="33" xfId="0" applyNumberFormat="1" applyFont="1" applyBorder="1" applyAlignment="1">
      <alignment horizontal="left" vertical="center"/>
    </xf>
    <xf numFmtId="3" fontId="65" fillId="0" borderId="68" xfId="0" applyNumberFormat="1" applyFont="1" applyBorder="1" applyAlignment="1">
      <alignment horizontal="right" vertical="center"/>
    </xf>
    <xf numFmtId="0" fontId="23" fillId="0" borderId="46" xfId="0" applyFont="1" applyBorder="1" applyAlignment="1">
      <alignment vertical="center" shrinkToFit="1"/>
    </xf>
    <xf numFmtId="0" fontId="23" fillId="0" borderId="0" xfId="0" applyFont="1" applyBorder="1" applyAlignment="1">
      <alignment vertical="center" shrinkToFit="1"/>
    </xf>
    <xf numFmtId="0" fontId="23" fillId="0" borderId="34" xfId="0" applyFont="1" applyBorder="1" applyAlignment="1">
      <alignment vertical="center" shrinkToFit="1"/>
    </xf>
    <xf numFmtId="187" fontId="65" fillId="0" borderId="12" xfId="0" applyNumberFormat="1" applyFont="1" applyBorder="1" applyAlignment="1">
      <alignment horizontal="right" vertical="center"/>
    </xf>
    <xf numFmtId="0" fontId="23" fillId="0" borderId="46"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34" xfId="0" applyFont="1" applyBorder="1" applyAlignment="1">
      <alignment horizontal="center" vertical="center" shrinkToFit="1"/>
    </xf>
    <xf numFmtId="0" fontId="23" fillId="0" borderId="90" xfId="0" applyFont="1" applyBorder="1" applyAlignment="1">
      <alignment horizontal="center" vertical="center" shrinkToFit="1"/>
    </xf>
    <xf numFmtId="0" fontId="23" fillId="0" borderId="80" xfId="0" applyFont="1" applyBorder="1" applyAlignment="1">
      <alignment horizontal="center" vertical="center" shrinkToFit="1"/>
    </xf>
    <xf numFmtId="0" fontId="23" fillId="0" borderId="91" xfId="0" applyFont="1" applyBorder="1" applyAlignment="1">
      <alignment horizontal="center" vertical="center" shrinkToFit="1"/>
    </xf>
    <xf numFmtId="0" fontId="23" fillId="0" borderId="28" xfId="0" applyFont="1" applyBorder="1" applyAlignment="1">
      <alignment vertical="center" shrinkToFit="1"/>
    </xf>
    <xf numFmtId="0" fontId="23" fillId="0" borderId="28" xfId="0" applyFont="1" applyBorder="1" applyAlignment="1">
      <alignment horizontal="center" vertical="center"/>
    </xf>
    <xf numFmtId="0" fontId="23" fillId="0" borderId="47" xfId="0" applyFont="1" applyBorder="1" applyAlignment="1">
      <alignment vertical="center"/>
    </xf>
    <xf numFmtId="0" fontId="19" fillId="0" borderId="59" xfId="0" applyFont="1" applyBorder="1" applyAlignment="1">
      <alignment vertical="center"/>
    </xf>
    <xf numFmtId="0" fontId="19" fillId="0" borderId="60" xfId="0" applyFont="1" applyBorder="1" applyAlignment="1">
      <alignment vertical="center"/>
    </xf>
    <xf numFmtId="0" fontId="23" fillId="0" borderId="90" xfId="0" applyFont="1" applyBorder="1" applyAlignment="1">
      <alignment vertical="center" shrinkToFit="1"/>
    </xf>
    <xf numFmtId="0" fontId="19" fillId="0" borderId="80" xfId="0" applyFont="1" applyBorder="1" applyAlignment="1">
      <alignment vertical="center" shrinkToFit="1"/>
    </xf>
    <xf numFmtId="0" fontId="19" fillId="0" borderId="91" xfId="0" applyFont="1" applyBorder="1" applyAlignment="1">
      <alignment vertical="center" shrinkToFit="1"/>
    </xf>
    <xf numFmtId="0" fontId="68" fillId="0" borderId="25" xfId="0" applyFont="1" applyBorder="1" applyAlignment="1">
      <alignment horizontal="center" vertical="center"/>
    </xf>
    <xf numFmtId="0" fontId="68" fillId="0" borderId="65" xfId="0" applyFont="1" applyBorder="1" applyAlignment="1">
      <alignment horizontal="center" vertical="center"/>
    </xf>
    <xf numFmtId="0" fontId="68" fillId="0" borderId="64" xfId="0" applyFont="1" applyBorder="1" applyAlignment="1">
      <alignment horizontal="center" vertical="center"/>
    </xf>
    <xf numFmtId="5" fontId="23" fillId="0" borderId="25" xfId="0" applyNumberFormat="1" applyFont="1" applyBorder="1" applyAlignment="1">
      <alignment vertical="center"/>
    </xf>
    <xf numFmtId="5" fontId="23" fillId="0" borderId="65" xfId="0" applyNumberFormat="1" applyFont="1" applyBorder="1" applyAlignment="1">
      <alignment vertical="center"/>
    </xf>
    <xf numFmtId="3" fontId="23" fillId="0" borderId="25" xfId="0" applyNumberFormat="1" applyFont="1" applyBorder="1" applyAlignment="1">
      <alignment horizontal="left" vertical="center" shrinkToFit="1"/>
    </xf>
    <xf numFmtId="0" fontId="19" fillId="0" borderId="65" xfId="0" applyFont="1" applyBorder="1" applyAlignment="1">
      <alignment horizontal="left" vertical="center" shrinkToFit="1"/>
    </xf>
    <xf numFmtId="0" fontId="19" fillId="0" borderId="64" xfId="0" applyFont="1" applyBorder="1" applyAlignment="1">
      <alignment horizontal="left" vertical="center" shrinkToFit="1"/>
    </xf>
    <xf numFmtId="5" fontId="23" fillId="0" borderId="65" xfId="0" applyNumberFormat="1" applyFont="1" applyBorder="1" applyAlignment="1">
      <alignment horizontal="center" vertical="center"/>
    </xf>
    <xf numFmtId="5" fontId="23" fillId="0" borderId="25" xfId="0" applyNumberFormat="1" applyFont="1" applyBorder="1" applyAlignment="1">
      <alignment horizontal="center" vertical="center" shrinkToFit="1"/>
    </xf>
    <xf numFmtId="5" fontId="23" fillId="0" borderId="64" xfId="0" applyNumberFormat="1" applyFont="1" applyBorder="1" applyAlignment="1">
      <alignment horizontal="center" vertical="center" shrinkToFit="1"/>
    </xf>
    <xf numFmtId="5" fontId="23" fillId="34" borderId="25" xfId="0" applyNumberFormat="1" applyFont="1" applyFill="1" applyBorder="1" applyAlignment="1">
      <alignment horizontal="center" vertical="center" shrinkToFit="1"/>
    </xf>
    <xf numFmtId="5" fontId="23" fillId="34" borderId="64" xfId="0" applyNumberFormat="1" applyFont="1" applyFill="1" applyBorder="1" applyAlignment="1">
      <alignment horizontal="center" vertical="center" shrinkToFit="1"/>
    </xf>
    <xf numFmtId="5" fontId="23" fillId="34" borderId="92" xfId="0" applyNumberFormat="1" applyFont="1" applyFill="1" applyBorder="1" applyAlignment="1">
      <alignment horizontal="center" vertical="center" shrinkToFit="1"/>
    </xf>
    <xf numFmtId="5" fontId="23" fillId="34" borderId="93" xfId="0" applyNumberFormat="1" applyFont="1" applyFill="1" applyBorder="1" applyAlignment="1">
      <alignment horizontal="center" vertical="center" shrinkToFit="1"/>
    </xf>
    <xf numFmtId="57" fontId="32" fillId="0" borderId="0" xfId="0" applyNumberFormat="1" applyFont="1" applyAlignment="1">
      <alignment horizontal="right" vertical="center" shrinkToFit="1"/>
    </xf>
    <xf numFmtId="0" fontId="23" fillId="0" borderId="28" xfId="0" applyFont="1" applyBorder="1" applyAlignment="1">
      <alignment horizontal="center" vertical="center" shrinkToFit="1"/>
    </xf>
    <xf numFmtId="0" fontId="23" fillId="34" borderId="25" xfId="0" applyFont="1" applyFill="1" applyBorder="1" applyAlignment="1">
      <alignment horizontal="center" vertical="center" shrinkToFit="1"/>
    </xf>
    <xf numFmtId="0" fontId="23" fillId="34" borderId="64" xfId="0" applyFont="1" applyFill="1" applyBorder="1" applyAlignment="1">
      <alignment horizontal="center" vertical="center" shrinkToFit="1"/>
    </xf>
    <xf numFmtId="0" fontId="23" fillId="0" borderId="25" xfId="0" applyFont="1" applyBorder="1" applyAlignment="1">
      <alignment horizontal="center" vertical="center" shrinkToFit="1"/>
    </xf>
    <xf numFmtId="0" fontId="23" fillId="0" borderId="64" xfId="0" applyFont="1" applyBorder="1" applyAlignment="1">
      <alignment horizontal="center" vertical="center" shrinkToFit="1"/>
    </xf>
  </cellXfs>
  <cellStyles count="279">
    <cellStyle name="Normal" xfId="0"/>
    <cellStyle name="20% - アクセント 1" xfId="15"/>
    <cellStyle name="20% - アクセント 1 2" xfId="16"/>
    <cellStyle name="20% - アクセント 1 2 2" xfId="17"/>
    <cellStyle name="20% - アクセント 1 2 3" xfId="18"/>
    <cellStyle name="20% - アクセント 1 2 4" xfId="19"/>
    <cellStyle name="20% - アクセント 1 2_PackShinsei" xfId="20"/>
    <cellStyle name="20% - アクセント 1 3" xfId="21"/>
    <cellStyle name="20% - アクセント 1 4" xfId="22"/>
    <cellStyle name="20% - アクセント 1 5" xfId="23"/>
    <cellStyle name="20% - アクセント 2" xfId="24"/>
    <cellStyle name="20% - アクセント 2 2" xfId="25"/>
    <cellStyle name="20% - アクセント 2 2 2" xfId="26"/>
    <cellStyle name="20% - アクセント 2 2 3" xfId="27"/>
    <cellStyle name="20% - アクセント 2 2 4" xfId="28"/>
    <cellStyle name="20% - アクセント 2 2_DATA" xfId="29"/>
    <cellStyle name="20% - アクセント 2 3" xfId="30"/>
    <cellStyle name="20% - アクセント 2 4" xfId="31"/>
    <cellStyle name="20% - アクセント 2 5" xfId="32"/>
    <cellStyle name="20% - アクセント 3" xfId="33"/>
    <cellStyle name="20% - アクセント 3 2" xfId="34"/>
    <cellStyle name="20% - アクセント 3 2 2" xfId="35"/>
    <cellStyle name="20% - アクセント 3 2 3" xfId="36"/>
    <cellStyle name="20% - アクセント 3 2 4" xfId="37"/>
    <cellStyle name="20% - アクセント 3 2_DATA" xfId="38"/>
    <cellStyle name="20% - アクセント 3 3" xfId="39"/>
    <cellStyle name="20% - アクセント 3 4" xfId="40"/>
    <cellStyle name="20% - アクセント 3 5" xfId="41"/>
    <cellStyle name="20% - アクセント 4" xfId="42"/>
    <cellStyle name="20% - アクセント 4 2" xfId="43"/>
    <cellStyle name="20% - アクセント 4 2 2" xfId="44"/>
    <cellStyle name="20% - アクセント 4 2 3" xfId="45"/>
    <cellStyle name="20% - アクセント 4 2 4" xfId="46"/>
    <cellStyle name="20% - アクセント 4 2_DATA" xfId="47"/>
    <cellStyle name="20% - アクセント 4 3" xfId="48"/>
    <cellStyle name="20% - アクセント 4 4" xfId="49"/>
    <cellStyle name="20% - アクセント 4 5" xfId="50"/>
    <cellStyle name="20% - アクセント 5" xfId="51"/>
    <cellStyle name="20% - アクセント 5 2" xfId="52"/>
    <cellStyle name="20% - アクセント 5 2 2" xfId="53"/>
    <cellStyle name="20% - アクセント 5 2 3" xfId="54"/>
    <cellStyle name="20% - アクセント 5 2 4" xfId="55"/>
    <cellStyle name="20% - アクセント 5 2_DATA" xfId="56"/>
    <cellStyle name="20% - アクセント 5 3" xfId="57"/>
    <cellStyle name="20% - アクセント 5 4" xfId="58"/>
    <cellStyle name="20% - アクセント 5 5" xfId="59"/>
    <cellStyle name="20% - アクセント 6" xfId="60"/>
    <cellStyle name="20% - アクセント 6 2" xfId="61"/>
    <cellStyle name="20% - アクセント 6 2 2" xfId="62"/>
    <cellStyle name="20% - アクセント 6 2 3" xfId="63"/>
    <cellStyle name="20% - アクセント 6 2 4" xfId="64"/>
    <cellStyle name="20% - アクセント 6 2_DATA" xfId="65"/>
    <cellStyle name="20% - アクセント 6 3" xfId="66"/>
    <cellStyle name="20% - アクセント 6 4" xfId="67"/>
    <cellStyle name="20% - アクセント 6 5" xfId="68"/>
    <cellStyle name="40% - アクセント 1" xfId="69"/>
    <cellStyle name="40% - アクセント 1 2" xfId="70"/>
    <cellStyle name="40% - アクセント 1 2 2" xfId="71"/>
    <cellStyle name="40% - アクセント 1 2 3" xfId="72"/>
    <cellStyle name="40% - アクセント 1 2 4" xfId="73"/>
    <cellStyle name="40% - アクセント 1 2_DATA" xfId="74"/>
    <cellStyle name="40% - アクセント 1 3" xfId="75"/>
    <cellStyle name="40% - アクセント 1 4" xfId="76"/>
    <cellStyle name="40% - アクセント 1 5" xfId="77"/>
    <cellStyle name="40% - アクセント 2" xfId="78"/>
    <cellStyle name="40% - アクセント 2 2" xfId="79"/>
    <cellStyle name="40% - アクセント 2 2 2" xfId="80"/>
    <cellStyle name="40% - アクセント 2 2 3" xfId="81"/>
    <cellStyle name="40% - アクセント 2 2 4" xfId="82"/>
    <cellStyle name="40% - アクセント 2 2_DATA" xfId="83"/>
    <cellStyle name="40% - アクセント 2 3" xfId="84"/>
    <cellStyle name="40% - アクセント 2 4" xfId="85"/>
    <cellStyle name="40% - アクセント 2 5" xfId="86"/>
    <cellStyle name="40% - アクセント 3" xfId="87"/>
    <cellStyle name="40% - アクセント 3 2" xfId="88"/>
    <cellStyle name="40% - アクセント 3 2 2" xfId="89"/>
    <cellStyle name="40% - アクセント 3 2 3" xfId="90"/>
    <cellStyle name="40% - アクセント 3 2 4" xfId="91"/>
    <cellStyle name="40% - アクセント 3 2_DATA" xfId="92"/>
    <cellStyle name="40% - アクセント 3 3" xfId="93"/>
    <cellStyle name="40% - アクセント 3 4" xfId="94"/>
    <cellStyle name="40% - アクセント 3 5" xfId="95"/>
    <cellStyle name="40% - アクセント 4" xfId="96"/>
    <cellStyle name="40% - アクセント 4 2" xfId="97"/>
    <cellStyle name="40% - アクセント 4 2 2" xfId="98"/>
    <cellStyle name="40% - アクセント 4 2 3" xfId="99"/>
    <cellStyle name="40% - アクセント 4 2 4" xfId="100"/>
    <cellStyle name="40% - アクセント 4 2_DATA" xfId="101"/>
    <cellStyle name="40% - アクセント 4 3" xfId="102"/>
    <cellStyle name="40% - アクセント 4 4" xfId="103"/>
    <cellStyle name="40% - アクセント 4 5" xfId="104"/>
    <cellStyle name="40% - アクセント 5" xfId="105"/>
    <cellStyle name="40% - アクセント 5 2" xfId="106"/>
    <cellStyle name="40% - アクセント 5 2 2" xfId="107"/>
    <cellStyle name="40% - アクセント 5 2 3" xfId="108"/>
    <cellStyle name="40% - アクセント 5 2 4" xfId="109"/>
    <cellStyle name="40% - アクセント 5 2_DATA" xfId="110"/>
    <cellStyle name="40% - アクセント 5 3" xfId="111"/>
    <cellStyle name="40% - アクセント 5 4" xfId="112"/>
    <cellStyle name="40% - アクセント 5 5" xfId="113"/>
    <cellStyle name="40% - アクセント 6" xfId="114"/>
    <cellStyle name="40% - アクセント 6 2" xfId="115"/>
    <cellStyle name="40% - アクセント 6 2 2" xfId="116"/>
    <cellStyle name="40% - アクセント 6 2 3" xfId="117"/>
    <cellStyle name="40% - アクセント 6 2 4" xfId="118"/>
    <cellStyle name="40% - アクセント 6 2_DATA" xfId="119"/>
    <cellStyle name="40% - アクセント 6 3" xfId="120"/>
    <cellStyle name="40% - アクセント 6 4" xfId="121"/>
    <cellStyle name="40% - アクセント 6 5" xfId="122"/>
    <cellStyle name="60% - アクセント 1" xfId="123"/>
    <cellStyle name="60% - アクセント 1 2" xfId="124"/>
    <cellStyle name="60% - アクセント 1 3" xfId="125"/>
    <cellStyle name="60% - アクセント 1 4" xfId="126"/>
    <cellStyle name="60% - アクセント 2" xfId="127"/>
    <cellStyle name="60% - アクセント 2 2" xfId="128"/>
    <cellStyle name="60% - アクセント 2 3" xfId="129"/>
    <cellStyle name="60% - アクセント 2 4" xfId="130"/>
    <cellStyle name="60% - アクセント 3" xfId="131"/>
    <cellStyle name="60% - アクセント 3 2" xfId="132"/>
    <cellStyle name="60% - アクセント 3 3" xfId="133"/>
    <cellStyle name="60% - アクセント 3 4" xfId="134"/>
    <cellStyle name="60% - アクセント 4" xfId="135"/>
    <cellStyle name="60% - アクセント 4 2" xfId="136"/>
    <cellStyle name="60% - アクセント 4 3" xfId="137"/>
    <cellStyle name="60% - アクセント 4 4" xfId="138"/>
    <cellStyle name="60% - アクセント 5" xfId="139"/>
    <cellStyle name="60% - アクセント 5 2" xfId="140"/>
    <cellStyle name="60% - アクセント 5 3" xfId="141"/>
    <cellStyle name="60% - アクセント 5 4" xfId="142"/>
    <cellStyle name="60% - アクセント 6" xfId="143"/>
    <cellStyle name="60% - アクセント 6 2" xfId="144"/>
    <cellStyle name="60% - アクセント 6 3" xfId="145"/>
    <cellStyle name="60% - アクセント 6 4" xfId="146"/>
    <cellStyle name="アクセント 1" xfId="147"/>
    <cellStyle name="アクセント 1 2" xfId="148"/>
    <cellStyle name="アクセント 1 3" xfId="149"/>
    <cellStyle name="アクセント 1 4" xfId="150"/>
    <cellStyle name="アクセント 2" xfId="151"/>
    <cellStyle name="アクセント 2 2" xfId="152"/>
    <cellStyle name="アクセント 2 3" xfId="153"/>
    <cellStyle name="アクセント 2 4" xfId="154"/>
    <cellStyle name="アクセント 3" xfId="155"/>
    <cellStyle name="アクセント 3 2" xfId="156"/>
    <cellStyle name="アクセント 3 3" xfId="157"/>
    <cellStyle name="アクセント 3 4" xfId="158"/>
    <cellStyle name="アクセント 4" xfId="159"/>
    <cellStyle name="アクセント 4 2" xfId="160"/>
    <cellStyle name="アクセント 4 3" xfId="161"/>
    <cellStyle name="アクセント 4 4" xfId="162"/>
    <cellStyle name="アクセント 5" xfId="163"/>
    <cellStyle name="アクセント 5 2" xfId="164"/>
    <cellStyle name="アクセント 5 3" xfId="165"/>
    <cellStyle name="アクセント 5 4" xfId="166"/>
    <cellStyle name="アクセント 6" xfId="167"/>
    <cellStyle name="アクセント 6 2" xfId="168"/>
    <cellStyle name="アクセント 6 3" xfId="169"/>
    <cellStyle name="アクセント 6 4" xfId="170"/>
    <cellStyle name="タイトル" xfId="171"/>
    <cellStyle name="タイトル 2" xfId="172"/>
    <cellStyle name="タイトル 3" xfId="173"/>
    <cellStyle name="タイトル 4" xfId="174"/>
    <cellStyle name="チェック セル" xfId="175"/>
    <cellStyle name="チェック セル 2" xfId="176"/>
    <cellStyle name="チェック セル 3" xfId="177"/>
    <cellStyle name="チェック セル 4" xfId="178"/>
    <cellStyle name="どちらでもない" xfId="179"/>
    <cellStyle name="どちらでもない 2" xfId="180"/>
    <cellStyle name="どちらでもない 3" xfId="181"/>
    <cellStyle name="どちらでもない 4" xfId="182"/>
    <cellStyle name="Percent" xfId="183"/>
    <cellStyle name="パーセント 2" xfId="184"/>
    <cellStyle name="パーセント 2 2" xfId="185"/>
    <cellStyle name="パーセント 2 3" xfId="186"/>
    <cellStyle name="パーセント 2 4" xfId="187"/>
    <cellStyle name="パーセント 2 5" xfId="188"/>
    <cellStyle name="Hyperlink" xfId="189"/>
    <cellStyle name="メモ" xfId="190"/>
    <cellStyle name="メモ 2" xfId="191"/>
    <cellStyle name="メモ 3" xfId="192"/>
    <cellStyle name="メモ 4" xfId="193"/>
    <cellStyle name="リンク セル" xfId="194"/>
    <cellStyle name="リンク セル 2" xfId="195"/>
    <cellStyle name="リンク セル 3" xfId="196"/>
    <cellStyle name="リンク セル 4" xfId="197"/>
    <cellStyle name="悪い" xfId="198"/>
    <cellStyle name="悪い 2" xfId="199"/>
    <cellStyle name="悪い 3" xfId="200"/>
    <cellStyle name="悪い 4" xfId="201"/>
    <cellStyle name="計算" xfId="202"/>
    <cellStyle name="計算 2" xfId="203"/>
    <cellStyle name="計算 3" xfId="204"/>
    <cellStyle name="計算 4" xfId="205"/>
    <cellStyle name="警告文" xfId="206"/>
    <cellStyle name="警告文 2" xfId="207"/>
    <cellStyle name="警告文 3" xfId="208"/>
    <cellStyle name="警告文 4" xfId="209"/>
    <cellStyle name="Comma [0]" xfId="210"/>
    <cellStyle name="Comma" xfId="211"/>
    <cellStyle name="桁区切り 2" xfId="212"/>
    <cellStyle name="見出し 1" xfId="213"/>
    <cellStyle name="見出し 1 2" xfId="214"/>
    <cellStyle name="見出し 1 3" xfId="215"/>
    <cellStyle name="見出し 1 4" xfId="216"/>
    <cellStyle name="見出し 2" xfId="217"/>
    <cellStyle name="見出し 2 2" xfId="218"/>
    <cellStyle name="見出し 2 3" xfId="219"/>
    <cellStyle name="見出し 2 4" xfId="220"/>
    <cellStyle name="見出し 3" xfId="221"/>
    <cellStyle name="見出し 3 2" xfId="222"/>
    <cellStyle name="見出し 3 3" xfId="223"/>
    <cellStyle name="見出し 3 4" xfId="224"/>
    <cellStyle name="見出し 4" xfId="225"/>
    <cellStyle name="見出し 4 2" xfId="226"/>
    <cellStyle name="見出し 4 3" xfId="227"/>
    <cellStyle name="見出し 4 4" xfId="228"/>
    <cellStyle name="集計" xfId="229"/>
    <cellStyle name="集計 2" xfId="230"/>
    <cellStyle name="集計 2 2" xfId="231"/>
    <cellStyle name="集計 2 3" xfId="232"/>
    <cellStyle name="集計 2 4" xfId="233"/>
    <cellStyle name="集計 2_DATA" xfId="234"/>
    <cellStyle name="集計 3" xfId="235"/>
    <cellStyle name="集計 4" xfId="236"/>
    <cellStyle name="集計 5" xfId="237"/>
    <cellStyle name="出力" xfId="238"/>
    <cellStyle name="出力 2" xfId="239"/>
    <cellStyle name="出力 3" xfId="240"/>
    <cellStyle name="出力 4" xfId="241"/>
    <cellStyle name="説明文" xfId="242"/>
    <cellStyle name="説明文 2" xfId="243"/>
    <cellStyle name="説明文 3" xfId="244"/>
    <cellStyle name="説明文 4" xfId="245"/>
    <cellStyle name="Currency [0]" xfId="246"/>
    <cellStyle name="Currency" xfId="247"/>
    <cellStyle name="入力" xfId="248"/>
    <cellStyle name="入力 2" xfId="249"/>
    <cellStyle name="入力 3" xfId="250"/>
    <cellStyle name="入力 4" xfId="251"/>
    <cellStyle name="標準 2" xfId="252"/>
    <cellStyle name="標準 2 2" xfId="253"/>
    <cellStyle name="標準 2 2 2" xfId="254"/>
    <cellStyle name="標準 2 2 3" xfId="255"/>
    <cellStyle name="標準 2 2_KNK_帳票マスタ" xfId="256"/>
    <cellStyle name="標準 2 3" xfId="257"/>
    <cellStyle name="標準 2 4" xfId="258"/>
    <cellStyle name="標準 2 5" xfId="259"/>
    <cellStyle name="標準 2 5 2" xfId="260"/>
    <cellStyle name="標準 2 5 3" xfId="261"/>
    <cellStyle name="標準 2 5 4" xfId="262"/>
    <cellStyle name="標準 2 5 5" xfId="263"/>
    <cellStyle name="標準 2 5_Book1" xfId="264"/>
    <cellStyle name="標準 2 6" xfId="265"/>
    <cellStyle name="標準 2_Basic_JizenHikiuke" xfId="266"/>
    <cellStyle name="標準 3" xfId="267"/>
    <cellStyle name="標準 3 2" xfId="268"/>
    <cellStyle name="標準 3 3" xfId="269"/>
    <cellStyle name="標準 3 4" xfId="270"/>
    <cellStyle name="標準 3_HikiukeIntermediate" xfId="271"/>
    <cellStyle name="標準 4" xfId="272"/>
    <cellStyle name="標準 4 2" xfId="273"/>
    <cellStyle name="標準 4_PackShinsei" xfId="274"/>
    <cellStyle name="標準 5" xfId="275"/>
    <cellStyle name="標準 5 2" xfId="276"/>
    <cellStyle name="標準 5 2 2" xfId="277"/>
    <cellStyle name="標準 5 2 3" xfId="278"/>
    <cellStyle name="標準 5 2 4" xfId="279"/>
    <cellStyle name="標準 5 2 5" xfId="280"/>
    <cellStyle name="標準 5 3" xfId="281"/>
    <cellStyle name="標準 5_HikiukeIntermediate" xfId="282"/>
    <cellStyle name="標準 6" xfId="283"/>
    <cellStyle name="標準 6 2" xfId="284"/>
    <cellStyle name="標準 6 3" xfId="285"/>
    <cellStyle name="標準 6 4" xfId="286"/>
    <cellStyle name="標準 7" xfId="287"/>
    <cellStyle name="標準 8" xfId="288"/>
    <cellStyle name="良い" xfId="289"/>
    <cellStyle name="良い 2" xfId="290"/>
    <cellStyle name="良い 3" xfId="291"/>
    <cellStyle name="良い 4" xfId="2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mailto:fukuzawa@hlpa.or.jp" TargetMode="Externa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3"/>
  </sheetPr>
  <dimension ref="D4:F50"/>
  <sheetViews>
    <sheetView zoomScalePageLayoutView="0" workbookViewId="0" topLeftCell="A28">
      <selection activeCell="E51" sqref="E51"/>
    </sheetView>
  </sheetViews>
  <sheetFormatPr defaultColWidth="3.83203125" defaultRowHeight="18" customHeight="1"/>
  <cols>
    <col min="1" max="3" width="3.83203125" style="239" customWidth="1"/>
    <col min="4" max="4" width="8.5" style="239" customWidth="1"/>
    <col min="5" max="5" width="26.16015625" style="382" customWidth="1"/>
    <col min="6" max="6" width="95.16015625" style="239" customWidth="1"/>
    <col min="7" max="16384" width="3.83203125" style="239" customWidth="1"/>
  </cols>
  <sheetData>
    <row r="4" spans="4:5" ht="18" customHeight="1">
      <c r="D4" s="239" t="s">
        <v>1305</v>
      </c>
      <c r="E4" s="382" t="s">
        <v>1308</v>
      </c>
    </row>
    <row r="5" spans="4:5" ht="18" customHeight="1">
      <c r="D5" s="239" t="s">
        <v>1306</v>
      </c>
      <c r="E5" s="382" t="s">
        <v>1309</v>
      </c>
    </row>
    <row r="6" spans="4:5" ht="18" customHeight="1">
      <c r="D6" s="239" t="s">
        <v>1307</v>
      </c>
      <c r="E6" s="382" t="s">
        <v>1310</v>
      </c>
    </row>
    <row r="7" spans="4:6" ht="18" customHeight="1">
      <c r="D7" s="239" t="s">
        <v>1391</v>
      </c>
      <c r="E7" s="382" t="s">
        <v>1311</v>
      </c>
      <c r="F7" s="239" t="s">
        <v>1732</v>
      </c>
    </row>
    <row r="9" spans="5:6" ht="18" customHeight="1">
      <c r="E9" s="382" t="s">
        <v>1725</v>
      </c>
      <c r="F9" s="239" t="s">
        <v>1392</v>
      </c>
    </row>
    <row r="10" spans="5:6" ht="18" customHeight="1">
      <c r="E10" s="382">
        <v>40877</v>
      </c>
      <c r="F10" s="239" t="s">
        <v>27</v>
      </c>
    </row>
    <row r="12" spans="5:6" ht="18" customHeight="1">
      <c r="E12" s="402">
        <v>40885</v>
      </c>
      <c r="F12" s="239" t="s">
        <v>3312</v>
      </c>
    </row>
    <row r="13" spans="5:6" ht="18" customHeight="1">
      <c r="E13" s="382">
        <v>40938</v>
      </c>
      <c r="F13" s="239" t="s">
        <v>3313</v>
      </c>
    </row>
    <row r="14" spans="5:6" ht="18" customHeight="1">
      <c r="E14" s="382">
        <v>40939</v>
      </c>
      <c r="F14" s="239" t="s">
        <v>3320</v>
      </c>
    </row>
    <row r="15" spans="5:6" ht="18" customHeight="1">
      <c r="E15" s="382">
        <v>40962</v>
      </c>
      <c r="F15" s="239" t="s">
        <v>3321</v>
      </c>
    </row>
    <row r="16" spans="5:6" ht="18" customHeight="1">
      <c r="E16" s="382">
        <v>41046</v>
      </c>
      <c r="F16" s="239" t="s">
        <v>3322</v>
      </c>
    </row>
    <row r="17" spans="5:6" ht="18" customHeight="1">
      <c r="E17" s="382">
        <v>41072</v>
      </c>
      <c r="F17" s="239" t="s">
        <v>3324</v>
      </c>
    </row>
    <row r="18" spans="5:6" ht="18" customHeight="1">
      <c r="E18" s="382">
        <v>41081</v>
      </c>
      <c r="F18" s="239" t="s">
        <v>3325</v>
      </c>
    </row>
    <row r="19" spans="5:6" ht="18" customHeight="1">
      <c r="E19" s="382">
        <v>41082</v>
      </c>
      <c r="F19" s="239" t="s">
        <v>3326</v>
      </c>
    </row>
    <row r="20" spans="5:6" ht="18" customHeight="1">
      <c r="E20" s="382">
        <v>41291</v>
      </c>
      <c r="F20" s="239" t="s">
        <v>3327</v>
      </c>
    </row>
    <row r="21" spans="5:6" ht="18" customHeight="1">
      <c r="E21" s="382">
        <v>41339</v>
      </c>
      <c r="F21" s="239" t="s">
        <v>3328</v>
      </c>
    </row>
    <row r="22" spans="5:6" ht="18" customHeight="1">
      <c r="E22" s="382">
        <v>41358</v>
      </c>
      <c r="F22" s="239" t="s">
        <v>3330</v>
      </c>
    </row>
    <row r="23" spans="5:6" ht="18" customHeight="1">
      <c r="E23" s="382">
        <v>41359</v>
      </c>
      <c r="F23" s="239" t="s">
        <v>3331</v>
      </c>
    </row>
    <row r="24" spans="5:6" ht="18" customHeight="1">
      <c r="E24" s="382">
        <v>41365</v>
      </c>
      <c r="F24" s="239" t="s">
        <v>3332</v>
      </c>
    </row>
    <row r="25" spans="5:6" ht="18" customHeight="1">
      <c r="E25" s="382">
        <v>41368</v>
      </c>
      <c r="F25" s="239" t="s">
        <v>3333</v>
      </c>
    </row>
    <row r="26" spans="5:6" ht="18" customHeight="1">
      <c r="E26" s="382">
        <v>41372</v>
      </c>
      <c r="F26" s="239" t="s">
        <v>3334</v>
      </c>
    </row>
    <row r="27" spans="5:6" ht="18" customHeight="1">
      <c r="E27" s="382">
        <v>41373</v>
      </c>
      <c r="F27" s="239" t="s">
        <v>3335</v>
      </c>
    </row>
    <row r="28" spans="5:6" ht="18" customHeight="1">
      <c r="E28" s="382">
        <v>41439</v>
      </c>
      <c r="F28" s="239" t="s">
        <v>3337</v>
      </c>
    </row>
    <row r="29" spans="5:6" ht="18" customHeight="1">
      <c r="E29" s="382">
        <v>41442</v>
      </c>
      <c r="F29" s="239" t="s">
        <v>3338</v>
      </c>
    </row>
    <row r="30" spans="5:6" ht="18" customHeight="1">
      <c r="E30" s="382">
        <v>41484</v>
      </c>
      <c r="F30" s="239" t="s">
        <v>3341</v>
      </c>
    </row>
    <row r="31" spans="5:6" ht="18" customHeight="1">
      <c r="E31" s="382">
        <v>41486</v>
      </c>
      <c r="F31" s="239" t="s">
        <v>3344</v>
      </c>
    </row>
    <row r="32" spans="5:6" ht="18" customHeight="1">
      <c r="E32" s="382">
        <v>41491</v>
      </c>
      <c r="F32" s="239" t="s">
        <v>3345</v>
      </c>
    </row>
    <row r="33" spans="5:6" ht="18" customHeight="1">
      <c r="E33" s="382">
        <v>41492</v>
      </c>
      <c r="F33" s="239" t="s">
        <v>3346</v>
      </c>
    </row>
    <row r="34" spans="5:6" ht="18" customHeight="1">
      <c r="E34" s="382">
        <v>41535</v>
      </c>
      <c r="F34" s="239" t="s">
        <v>3344</v>
      </c>
    </row>
    <row r="35" spans="5:6" ht="18" customHeight="1">
      <c r="E35" s="382">
        <v>41675</v>
      </c>
      <c r="F35" s="239" t="s">
        <v>3328</v>
      </c>
    </row>
    <row r="36" spans="5:6" ht="18" customHeight="1">
      <c r="E36" s="382">
        <v>41729</v>
      </c>
      <c r="F36" s="239" t="s">
        <v>3344</v>
      </c>
    </row>
    <row r="37" spans="5:6" ht="18" customHeight="1">
      <c r="E37" s="382">
        <v>41773</v>
      </c>
      <c r="F37" s="239" t="s">
        <v>3381</v>
      </c>
    </row>
    <row r="38" spans="5:6" ht="18" customHeight="1">
      <c r="E38" s="382">
        <v>41872</v>
      </c>
      <c r="F38" s="239" t="s">
        <v>3382</v>
      </c>
    </row>
    <row r="39" spans="5:6" ht="18" customHeight="1">
      <c r="E39" s="382">
        <v>41997</v>
      </c>
      <c r="F39" s="239" t="s">
        <v>3383</v>
      </c>
    </row>
    <row r="40" spans="5:6" ht="18" customHeight="1">
      <c r="E40" s="382">
        <v>42024</v>
      </c>
      <c r="F40" s="239" t="s">
        <v>3384</v>
      </c>
    </row>
    <row r="41" spans="5:6" ht="18" customHeight="1">
      <c r="E41" s="382">
        <v>42025</v>
      </c>
      <c r="F41" s="239" t="s">
        <v>3385</v>
      </c>
    </row>
    <row r="42" spans="5:6" ht="18" customHeight="1">
      <c r="E42" s="382">
        <v>42062</v>
      </c>
      <c r="F42" s="239" t="s">
        <v>3397</v>
      </c>
    </row>
    <row r="43" spans="5:6" ht="18" customHeight="1">
      <c r="E43" s="382">
        <v>42124</v>
      </c>
      <c r="F43" s="239" t="s">
        <v>3398</v>
      </c>
    </row>
    <row r="44" spans="5:6" ht="18" customHeight="1">
      <c r="E44" s="382">
        <v>42132</v>
      </c>
      <c r="F44" s="239" t="s">
        <v>3400</v>
      </c>
    </row>
    <row r="45" spans="5:6" ht="18" customHeight="1">
      <c r="E45" s="382">
        <v>42150</v>
      </c>
      <c r="F45" s="239" t="s">
        <v>3401</v>
      </c>
    </row>
    <row r="46" spans="5:6" ht="18" customHeight="1">
      <c r="E46" s="382">
        <v>42156</v>
      </c>
      <c r="F46" s="239" t="s">
        <v>3403</v>
      </c>
    </row>
    <row r="47" ht="18" customHeight="1">
      <c r="F47" s="239" t="s">
        <v>3404</v>
      </c>
    </row>
    <row r="48" spans="5:6" ht="18" customHeight="1">
      <c r="E48" s="382">
        <v>42159</v>
      </c>
      <c r="F48" s="239" t="s">
        <v>3405</v>
      </c>
    </row>
    <row r="49" spans="5:6" ht="18" customHeight="1">
      <c r="E49" s="382">
        <v>42184</v>
      </c>
      <c r="F49" s="239" t="s">
        <v>3406</v>
      </c>
    </row>
    <row r="50" spans="5:6" ht="18" customHeight="1">
      <c r="E50" s="382">
        <v>42249</v>
      </c>
      <c r="F50" s="239" t="s">
        <v>3407</v>
      </c>
    </row>
  </sheetData>
  <sheetProtection/>
  <printOptions/>
  <pageMargins left="0.787" right="0.787"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FF00"/>
    <pageSetUpPr fitToPage="1"/>
  </sheetPr>
  <dimension ref="A1:HF139"/>
  <sheetViews>
    <sheetView zoomScale="80" zoomScaleNormal="80" zoomScalePageLayoutView="0" workbookViewId="0" topLeftCell="A1">
      <pane xSplit="2" ySplit="3" topLeftCell="EI13" activePane="bottomRight" state="frozen"/>
      <selection pane="topLeft" activeCell="A1" sqref="A1"/>
      <selection pane="topRight" activeCell="C1" sqref="C1"/>
      <selection pane="bottomLeft" activeCell="A4" sqref="A4"/>
      <selection pane="bottomRight" activeCell="FW29" sqref="FW29"/>
    </sheetView>
  </sheetViews>
  <sheetFormatPr defaultColWidth="10.83203125" defaultRowHeight="22.5" customHeight="1"/>
  <cols>
    <col min="1" max="1" width="4.5" style="203" customWidth="1"/>
    <col min="2" max="2" width="24" style="203" customWidth="1"/>
    <col min="3" max="3" width="6.83203125" style="222" customWidth="1"/>
    <col min="4" max="4" width="50.66015625" style="203" customWidth="1"/>
    <col min="5" max="5" width="53.33203125" style="203" customWidth="1"/>
    <col min="6" max="7" width="7.83203125" style="213" customWidth="1"/>
    <col min="8" max="8" width="7.83203125" style="203" customWidth="1"/>
    <col min="9" max="9" width="61.5" style="203" customWidth="1"/>
    <col min="10" max="11" width="7.33203125" style="228" customWidth="1"/>
    <col min="12" max="12" width="8.83203125" style="229" customWidth="1"/>
    <col min="13" max="13" width="10.83203125" style="230" customWidth="1"/>
    <col min="14" max="17" width="10.83203125" style="231" customWidth="1"/>
    <col min="18" max="18" width="11.66015625" style="231" customWidth="1"/>
    <col min="19" max="19" width="12" style="231" customWidth="1"/>
    <col min="20" max="22" width="10.83203125" style="231" customWidth="1"/>
    <col min="23" max="23" width="10.83203125" style="232" customWidth="1"/>
    <col min="24" max="34" width="10.83203125" style="231" customWidth="1"/>
    <col min="35" max="35" width="14.5" style="231" customWidth="1"/>
    <col min="36" max="38" width="13.16015625" style="231" customWidth="1"/>
    <col min="39" max="39" width="12.83203125" style="232" customWidth="1"/>
    <col min="40" max="40" width="2.66015625" style="61" customWidth="1"/>
    <col min="41" max="44" width="10.83203125" style="233" customWidth="1"/>
    <col min="45" max="45" width="15.16015625" style="233" customWidth="1"/>
    <col min="46" max="47" width="10.83203125" style="233" customWidth="1"/>
    <col min="48" max="48" width="12" style="233" customWidth="1"/>
    <col min="49" max="49" width="12.33203125" style="233" customWidth="1"/>
    <col min="50" max="50" width="17" style="233" customWidth="1"/>
    <col min="51" max="51" width="14" style="233" customWidth="1"/>
    <col min="52" max="52" width="13.16015625" style="233" customWidth="1"/>
    <col min="53" max="53" width="16.83203125" style="233" customWidth="1"/>
    <col min="54" max="54" width="16.5" style="233" customWidth="1"/>
    <col min="55" max="55" width="14.33203125" style="233" customWidth="1"/>
    <col min="56" max="87" width="16" style="61" customWidth="1"/>
    <col min="88" max="88" width="12.5" style="222" customWidth="1"/>
    <col min="89" max="91" width="12.83203125" style="222" customWidth="1"/>
    <col min="92" max="93" width="6" style="222" customWidth="1"/>
    <col min="94" max="94" width="15" style="222" customWidth="1"/>
    <col min="95" max="95" width="4.5" style="222" customWidth="1"/>
    <col min="96" max="97" width="4.5" style="238" customWidth="1"/>
    <col min="98" max="101" width="4.5" style="222" customWidth="1"/>
    <col min="102" max="102" width="6.33203125" style="222" customWidth="1"/>
    <col min="103" max="106" width="6" style="222" customWidth="1"/>
    <col min="107" max="107" width="11.83203125" style="222" customWidth="1"/>
    <col min="108" max="117" width="7" style="222" customWidth="1"/>
    <col min="118" max="119" width="10.83203125" style="231" customWidth="1"/>
    <col min="120" max="120" width="14.5" style="222" customWidth="1"/>
    <col min="121" max="121" width="12.16015625" style="233" customWidth="1"/>
    <col min="122" max="122" width="12.66015625" style="233" customWidth="1"/>
    <col min="123" max="124" width="5.33203125" style="233" customWidth="1"/>
    <col min="125" max="126" width="5.33203125" style="222" customWidth="1"/>
    <col min="127" max="128" width="5.33203125" style="235" customWidth="1"/>
    <col min="129" max="139" width="5.33203125" style="222" customWidth="1"/>
    <col min="140" max="144" width="11.66015625" style="237" customWidth="1"/>
    <col min="145" max="145" width="11" style="222" customWidth="1"/>
    <col min="146" max="148" width="10.83203125" style="222" customWidth="1"/>
    <col min="149" max="149" width="15" style="222" customWidth="1"/>
    <col min="150" max="151" width="10.83203125" style="222" customWidth="1"/>
    <col min="152" max="152" width="17.83203125" style="222" customWidth="1"/>
    <col min="153" max="156" width="10.83203125" style="222" customWidth="1"/>
    <col min="157" max="163" width="6.16015625" style="222" customWidth="1"/>
    <col min="164" max="164" width="6.5" style="222" customWidth="1"/>
    <col min="165" max="166" width="6.16015625" style="222" customWidth="1"/>
    <col min="167" max="214" width="7" style="222" customWidth="1"/>
    <col min="215" max="16384" width="10.83203125" style="222" customWidth="1"/>
  </cols>
  <sheetData>
    <row r="1" spans="1:214" s="116" customFormat="1" ht="22.5" customHeight="1">
      <c r="A1" s="274" t="s">
        <v>2495</v>
      </c>
      <c r="B1" s="275"/>
      <c r="C1" s="277" t="s">
        <v>1720</v>
      </c>
      <c r="D1" s="278"/>
      <c r="E1" s="278"/>
      <c r="F1" s="279" t="s">
        <v>2713</v>
      </c>
      <c r="G1" s="279"/>
      <c r="H1" s="279"/>
      <c r="I1" s="280"/>
      <c r="J1" s="286" t="s">
        <v>2714</v>
      </c>
      <c r="K1" s="287"/>
      <c r="L1" s="288"/>
      <c r="M1" s="289" t="s">
        <v>145</v>
      </c>
      <c r="N1" s="290"/>
      <c r="O1" s="290"/>
      <c r="P1" s="290"/>
      <c r="Q1" s="291"/>
      <c r="R1" s="292" t="s">
        <v>148</v>
      </c>
      <c r="S1" s="293"/>
      <c r="T1" s="293"/>
      <c r="U1" s="293"/>
      <c r="V1" s="294"/>
      <c r="W1" s="283" t="s">
        <v>2496</v>
      </c>
      <c r="X1" s="284"/>
      <c r="Y1" s="284"/>
      <c r="Z1" s="284"/>
      <c r="AA1" s="284"/>
      <c r="AB1" s="284"/>
      <c r="AC1" s="284"/>
      <c r="AD1" s="284"/>
      <c r="AE1" s="284"/>
      <c r="AF1" s="284"/>
      <c r="AG1" s="284"/>
      <c r="AH1" s="284"/>
      <c r="AI1" s="284"/>
      <c r="AJ1" s="284"/>
      <c r="AK1" s="284"/>
      <c r="AL1" s="285"/>
      <c r="AM1" s="276"/>
      <c r="AN1" s="592" t="s">
        <v>2715</v>
      </c>
      <c r="AO1" s="588" t="s">
        <v>2716</v>
      </c>
      <c r="AP1" s="588"/>
      <c r="AQ1" s="593" t="s">
        <v>2717</v>
      </c>
      <c r="AR1" s="593"/>
      <c r="AS1" s="593"/>
      <c r="AT1" s="593"/>
      <c r="AU1" s="586" t="s">
        <v>2718</v>
      </c>
      <c r="AV1" s="586"/>
      <c r="AW1" s="586"/>
      <c r="AX1" s="586"/>
      <c r="AY1" s="586"/>
      <c r="AZ1" s="586"/>
      <c r="BA1" s="586"/>
      <c r="BB1" s="586"/>
      <c r="BC1" s="586"/>
      <c r="BD1" s="192" t="s">
        <v>2728</v>
      </c>
      <c r="BE1" s="192"/>
      <c r="BF1" s="192"/>
      <c r="BG1" s="192"/>
      <c r="BH1" s="192"/>
      <c r="BI1" s="192"/>
      <c r="BJ1" s="192"/>
      <c r="BK1" s="192"/>
      <c r="BL1" s="192"/>
      <c r="BM1" s="192"/>
      <c r="BN1" s="192"/>
      <c r="BO1" s="192"/>
      <c r="BP1" s="192"/>
      <c r="BQ1" s="192"/>
      <c r="BR1" s="192"/>
      <c r="BS1" s="192"/>
      <c r="BT1" s="192"/>
      <c r="BU1" s="192"/>
      <c r="BV1" s="192"/>
      <c r="BW1" s="192"/>
      <c r="BX1" s="192"/>
      <c r="BY1" s="192"/>
      <c r="BZ1" s="192"/>
      <c r="CA1" s="192"/>
      <c r="CB1" s="192"/>
      <c r="CC1" s="192"/>
      <c r="CD1" s="192"/>
      <c r="CE1" s="192"/>
      <c r="CF1" s="192"/>
      <c r="CG1" s="594" t="s">
        <v>2729</v>
      </c>
      <c r="CH1" s="594"/>
      <c r="CI1" s="594"/>
      <c r="CJ1" s="595" t="s">
        <v>2719</v>
      </c>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595"/>
      <c r="DK1" s="595"/>
      <c r="DL1" s="595"/>
      <c r="DM1" s="595"/>
      <c r="DN1" s="595"/>
      <c r="DO1" s="595"/>
      <c r="DP1" s="595"/>
      <c r="DQ1" s="588" t="s">
        <v>2720</v>
      </c>
      <c r="DR1" s="588"/>
      <c r="DS1" s="588"/>
      <c r="DT1" s="588"/>
      <c r="DU1" s="588"/>
      <c r="DV1" s="588"/>
      <c r="DW1" s="588"/>
      <c r="DX1" s="588"/>
      <c r="DY1" s="588"/>
      <c r="DZ1" s="588"/>
      <c r="EA1" s="588"/>
      <c r="EB1" s="588"/>
      <c r="EC1" s="588"/>
      <c r="ED1" s="588"/>
      <c r="EE1" s="588"/>
      <c r="EF1" s="588"/>
      <c r="EG1" s="588"/>
      <c r="EH1" s="588"/>
      <c r="EI1" s="588"/>
      <c r="EJ1" s="588"/>
      <c r="EK1" s="588"/>
      <c r="EL1" s="588"/>
      <c r="EM1" s="588"/>
      <c r="EN1" s="588"/>
      <c r="EO1" s="588"/>
      <c r="EP1" s="589" t="s">
        <v>2721</v>
      </c>
      <c r="EQ1" s="589"/>
      <c r="ER1" s="589"/>
      <c r="ES1" s="589"/>
      <c r="ET1" s="589"/>
      <c r="EU1" s="589"/>
      <c r="EV1" s="589"/>
      <c r="EW1" s="589"/>
      <c r="EX1" s="590" t="s">
        <v>3221</v>
      </c>
      <c r="EY1" s="590"/>
      <c r="EZ1" s="590"/>
      <c r="FA1" s="587" t="s">
        <v>3222</v>
      </c>
      <c r="FB1" s="587"/>
      <c r="FC1" s="587"/>
      <c r="FD1" s="587"/>
      <c r="FE1" s="587"/>
      <c r="FF1" s="587"/>
      <c r="FG1" s="587"/>
      <c r="FH1" s="587"/>
      <c r="FI1" s="587"/>
      <c r="FJ1" s="587"/>
      <c r="FK1" s="587" t="s">
        <v>3223</v>
      </c>
      <c r="FL1" s="587"/>
      <c r="FM1" s="587"/>
      <c r="FN1" s="587"/>
      <c r="FO1" s="587"/>
      <c r="FP1" s="587"/>
      <c r="FQ1" s="587"/>
      <c r="FR1" s="587"/>
      <c r="FS1" s="587"/>
      <c r="FT1" s="587"/>
      <c r="FU1" s="587"/>
      <c r="FV1" s="587"/>
      <c r="FW1" s="587"/>
      <c r="FX1" s="587"/>
      <c r="FY1" s="587"/>
      <c r="FZ1" s="587"/>
      <c r="GA1" s="587"/>
      <c r="GB1" s="587"/>
      <c r="GC1" s="587"/>
      <c r="GD1" s="587"/>
      <c r="GE1" s="587"/>
      <c r="GF1" s="587"/>
      <c r="GG1" s="587"/>
      <c r="GH1" s="587"/>
      <c r="GI1" s="587"/>
      <c r="GJ1" s="587"/>
      <c r="GK1" s="587"/>
      <c r="GL1" s="587"/>
      <c r="GM1" s="587"/>
      <c r="GN1" s="587"/>
      <c r="GO1" s="587"/>
      <c r="GP1" s="587"/>
      <c r="GQ1" s="587"/>
      <c r="GR1" s="587"/>
      <c r="GS1" s="587"/>
      <c r="GT1" s="587"/>
      <c r="GU1" s="587"/>
      <c r="GV1" s="587"/>
      <c r="GW1" s="587"/>
      <c r="GX1" s="587"/>
      <c r="GY1" s="587"/>
      <c r="GZ1" s="587"/>
      <c r="HA1" s="587"/>
      <c r="HB1" s="587"/>
      <c r="HC1" s="587"/>
      <c r="HD1" s="587"/>
      <c r="HE1" s="587"/>
      <c r="HF1" s="587"/>
    </row>
    <row r="2" spans="1:214" s="203" customFormat="1" ht="22.5" customHeight="1">
      <c r="A2" s="201" t="s">
        <v>3224</v>
      </c>
      <c r="B2" s="201" t="s">
        <v>1407</v>
      </c>
      <c r="C2" s="273" t="s">
        <v>1408</v>
      </c>
      <c r="D2" s="273" t="s">
        <v>1722</v>
      </c>
      <c r="E2" s="273" t="s">
        <v>2286</v>
      </c>
      <c r="F2" s="281" t="s">
        <v>1409</v>
      </c>
      <c r="G2" s="282" t="s">
        <v>1410</v>
      </c>
      <c r="H2" s="201" t="s">
        <v>1411</v>
      </c>
      <c r="I2" s="201" t="s">
        <v>1412</v>
      </c>
      <c r="J2" s="193" t="s">
        <v>1413</v>
      </c>
      <c r="K2" s="193" t="s">
        <v>1414</v>
      </c>
      <c r="L2" s="193" t="s">
        <v>1415</v>
      </c>
      <c r="M2" s="193" t="s">
        <v>1416</v>
      </c>
      <c r="N2" s="193" t="s">
        <v>1417</v>
      </c>
      <c r="O2" s="193" t="s">
        <v>1418</v>
      </c>
      <c r="P2" s="193" t="s">
        <v>1419</v>
      </c>
      <c r="Q2" s="193"/>
      <c r="R2" s="193" t="s">
        <v>1420</v>
      </c>
      <c r="S2" s="193" t="s">
        <v>1421</v>
      </c>
      <c r="T2" s="193" t="s">
        <v>1422</v>
      </c>
      <c r="U2" s="193" t="s">
        <v>1423</v>
      </c>
      <c r="V2" s="193"/>
      <c r="W2" s="193" t="s">
        <v>1424</v>
      </c>
      <c r="X2" s="193" t="s">
        <v>1425</v>
      </c>
      <c r="Y2" s="193" t="s">
        <v>525</v>
      </c>
      <c r="Z2" s="194" t="s">
        <v>1426</v>
      </c>
      <c r="AA2" s="194" t="s">
        <v>1427</v>
      </c>
      <c r="AB2" s="194" t="s">
        <v>1428</v>
      </c>
      <c r="AC2" s="194" t="s">
        <v>1429</v>
      </c>
      <c r="AD2" s="386" t="s">
        <v>1517</v>
      </c>
      <c r="AE2" s="386" t="s">
        <v>1518</v>
      </c>
      <c r="AF2" s="386" t="s">
        <v>1519</v>
      </c>
      <c r="AG2" s="195" t="s">
        <v>1430</v>
      </c>
      <c r="AH2" s="193" t="s">
        <v>1431</v>
      </c>
      <c r="AI2" s="196" t="s">
        <v>1432</v>
      </c>
      <c r="AJ2" s="196" t="s">
        <v>2730</v>
      </c>
      <c r="AK2" s="193" t="s">
        <v>2731</v>
      </c>
      <c r="AL2" s="193" t="s">
        <v>2732</v>
      </c>
      <c r="AM2" s="259"/>
      <c r="AN2" s="592"/>
      <c r="AO2" s="193" t="s">
        <v>1433</v>
      </c>
      <c r="AP2" s="193" t="s">
        <v>1434</v>
      </c>
      <c r="AQ2" s="193" t="s">
        <v>1435</v>
      </c>
      <c r="AR2" s="193" t="s">
        <v>1436</v>
      </c>
      <c r="AS2" s="193" t="s">
        <v>2551</v>
      </c>
      <c r="AT2" s="193" t="s">
        <v>2552</v>
      </c>
      <c r="AU2" s="194" t="s">
        <v>2553</v>
      </c>
      <c r="AV2" s="194" t="s">
        <v>1284</v>
      </c>
      <c r="AW2" s="194" t="s">
        <v>1285</v>
      </c>
      <c r="AX2" s="194" t="s">
        <v>3271</v>
      </c>
      <c r="AY2" s="194" t="s">
        <v>3272</v>
      </c>
      <c r="AZ2" s="194" t="s">
        <v>3273</v>
      </c>
      <c r="BA2" s="194" t="s">
        <v>3274</v>
      </c>
      <c r="BB2" s="194" t="s">
        <v>3275</v>
      </c>
      <c r="BC2" s="194" t="s">
        <v>3276</v>
      </c>
      <c r="BD2" s="591" t="s">
        <v>2733</v>
      </c>
      <c r="BE2" s="591"/>
      <c r="BF2" s="591"/>
      <c r="BG2" s="591"/>
      <c r="BH2" s="591"/>
      <c r="BI2" s="591"/>
      <c r="BJ2" s="591"/>
      <c r="BK2" s="591"/>
      <c r="BL2" s="591"/>
      <c r="BM2" s="591"/>
      <c r="BN2" s="591"/>
      <c r="BO2" s="591"/>
      <c r="BP2" s="591"/>
      <c r="BQ2" s="591"/>
      <c r="BR2" s="591"/>
      <c r="BS2" s="591"/>
      <c r="BT2" s="591"/>
      <c r="BU2" s="591"/>
      <c r="BV2" s="591"/>
      <c r="BW2" s="591"/>
      <c r="BX2" s="591"/>
      <c r="BY2" s="591"/>
      <c r="BZ2" s="591"/>
      <c r="CA2" s="591"/>
      <c r="CB2" s="591"/>
      <c r="CC2" s="591"/>
      <c r="CD2" s="591"/>
      <c r="CE2" s="591"/>
      <c r="CF2" s="591"/>
      <c r="CG2" s="196"/>
      <c r="CH2" s="196"/>
      <c r="CI2" s="196"/>
      <c r="CJ2" s="197" t="s">
        <v>3277</v>
      </c>
      <c r="CK2" s="583" t="s">
        <v>1444</v>
      </c>
      <c r="CL2" s="583"/>
      <c r="CM2" s="583"/>
      <c r="CN2" s="583" t="s">
        <v>1445</v>
      </c>
      <c r="CO2" s="583"/>
      <c r="CP2" s="197" t="s">
        <v>1446</v>
      </c>
      <c r="CQ2" s="598" t="s">
        <v>1447</v>
      </c>
      <c r="CR2" s="598"/>
      <c r="CS2" s="598"/>
      <c r="CT2" s="598"/>
      <c r="CU2" s="598"/>
      <c r="CV2" s="598"/>
      <c r="CW2" s="598"/>
      <c r="CX2" s="598"/>
      <c r="CY2" s="583" t="s">
        <v>28</v>
      </c>
      <c r="CZ2" s="583"/>
      <c r="DA2" s="583" t="s">
        <v>29</v>
      </c>
      <c r="DB2" s="583"/>
      <c r="DC2" s="197" t="s">
        <v>30</v>
      </c>
      <c r="DD2" s="582" t="s">
        <v>31</v>
      </c>
      <c r="DE2" s="582"/>
      <c r="DF2" s="582" t="s">
        <v>32</v>
      </c>
      <c r="DG2" s="582"/>
      <c r="DH2" s="597" t="s">
        <v>2734</v>
      </c>
      <c r="DI2" s="597"/>
      <c r="DJ2" s="596" t="s">
        <v>2735</v>
      </c>
      <c r="DK2" s="597"/>
      <c r="DL2" s="597" t="s">
        <v>2736</v>
      </c>
      <c r="DM2" s="597"/>
      <c r="DN2" s="585" t="s">
        <v>2289</v>
      </c>
      <c r="DO2" s="585"/>
      <c r="DP2" s="197"/>
      <c r="DQ2" s="194" t="s">
        <v>33</v>
      </c>
      <c r="DR2" s="198" t="s">
        <v>2658</v>
      </c>
      <c r="DS2" s="583" t="s">
        <v>2659</v>
      </c>
      <c r="DT2" s="583"/>
      <c r="DU2" s="583" t="s">
        <v>2660</v>
      </c>
      <c r="DV2" s="583"/>
      <c r="DW2" s="584" t="s">
        <v>2661</v>
      </c>
      <c r="DX2" s="584"/>
      <c r="DY2" s="583" t="s">
        <v>2662</v>
      </c>
      <c r="DZ2" s="583"/>
      <c r="EA2" s="583" t="s">
        <v>2663</v>
      </c>
      <c r="EB2" s="583"/>
      <c r="EC2" s="583" t="s">
        <v>2664</v>
      </c>
      <c r="ED2" s="583"/>
      <c r="EE2" s="583" t="s">
        <v>2665</v>
      </c>
      <c r="EF2" s="583"/>
      <c r="EG2" s="583" t="s">
        <v>2666</v>
      </c>
      <c r="EH2" s="583"/>
      <c r="EI2" s="197"/>
      <c r="EJ2" s="200" t="s">
        <v>2290</v>
      </c>
      <c r="EK2" s="200"/>
      <c r="EL2" s="200"/>
      <c r="EM2" s="200"/>
      <c r="EN2" s="200"/>
      <c r="EO2" s="197"/>
      <c r="EP2" s="198" t="s">
        <v>2667</v>
      </c>
      <c r="EQ2" s="198" t="s">
        <v>2668</v>
      </c>
      <c r="ER2" s="198" t="s">
        <v>557</v>
      </c>
      <c r="ES2" s="198" t="s">
        <v>558</v>
      </c>
      <c r="ET2" s="198" t="s">
        <v>559</v>
      </c>
      <c r="EU2" s="198" t="s">
        <v>560</v>
      </c>
      <c r="EV2" s="198" t="s">
        <v>561</v>
      </c>
      <c r="EW2" s="198" t="s">
        <v>2552</v>
      </c>
      <c r="EX2" s="198" t="s">
        <v>3205</v>
      </c>
      <c r="EY2" s="198" t="s">
        <v>562</v>
      </c>
      <c r="EZ2" s="198" t="s">
        <v>563</v>
      </c>
      <c r="FA2" s="201" t="s">
        <v>564</v>
      </c>
      <c r="FB2" s="201"/>
      <c r="FC2" s="201"/>
      <c r="FD2" s="201"/>
      <c r="FE2" s="201"/>
      <c r="FF2" s="201"/>
      <c r="FG2" s="201"/>
      <c r="FH2" s="201"/>
      <c r="FI2" s="201"/>
      <c r="FJ2" s="201"/>
      <c r="FK2" s="202" t="s">
        <v>565</v>
      </c>
      <c r="FL2" s="202" t="s">
        <v>566</v>
      </c>
      <c r="FM2" s="202" t="s">
        <v>567</v>
      </c>
      <c r="FN2" s="202" t="s">
        <v>568</v>
      </c>
      <c r="FO2" s="202" t="s">
        <v>569</v>
      </c>
      <c r="FP2" s="202" t="s">
        <v>570</v>
      </c>
      <c r="FQ2" s="202" t="s">
        <v>571</v>
      </c>
      <c r="FR2" s="202" t="s">
        <v>572</v>
      </c>
      <c r="FS2" s="202" t="s">
        <v>573</v>
      </c>
      <c r="FT2" s="202" t="s">
        <v>574</v>
      </c>
      <c r="FU2" s="202" t="s">
        <v>575</v>
      </c>
      <c r="FV2" s="202" t="s">
        <v>576</v>
      </c>
      <c r="FW2" s="202" t="s">
        <v>577</v>
      </c>
      <c r="FX2" s="202" t="s">
        <v>578</v>
      </c>
      <c r="FY2" s="202" t="s">
        <v>579</v>
      </c>
      <c r="FZ2" s="202" t="s">
        <v>580</v>
      </c>
      <c r="GA2" s="202" t="s">
        <v>581</v>
      </c>
      <c r="GB2" s="202" t="s">
        <v>582</v>
      </c>
      <c r="GC2" s="202" t="s">
        <v>583</v>
      </c>
      <c r="GD2" s="202" t="s">
        <v>584</v>
      </c>
      <c r="GE2" s="202" t="s">
        <v>585</v>
      </c>
      <c r="GF2" s="202" t="s">
        <v>586</v>
      </c>
      <c r="GG2" s="202" t="s">
        <v>587</v>
      </c>
      <c r="GH2" s="202" t="s">
        <v>588</v>
      </c>
      <c r="GI2" s="202" t="s">
        <v>589</v>
      </c>
      <c r="GJ2" s="202" t="s">
        <v>590</v>
      </c>
      <c r="GK2" s="202" t="s">
        <v>591</v>
      </c>
      <c r="GL2" s="202" t="s">
        <v>592</v>
      </c>
      <c r="GM2" s="202" t="s">
        <v>593</v>
      </c>
      <c r="GN2" s="202" t="s">
        <v>594</v>
      </c>
      <c r="GO2" s="202" t="s">
        <v>2304</v>
      </c>
      <c r="GP2" s="202" t="s">
        <v>2305</v>
      </c>
      <c r="GQ2" s="202" t="s">
        <v>2306</v>
      </c>
      <c r="GR2" s="202" t="s">
        <v>2307</v>
      </c>
      <c r="GS2" s="202" t="s">
        <v>2308</v>
      </c>
      <c r="GT2" s="202" t="s">
        <v>2309</v>
      </c>
      <c r="GU2" s="202" t="s">
        <v>2310</v>
      </c>
      <c r="GV2" s="202" t="s">
        <v>2311</v>
      </c>
      <c r="GW2" s="202" t="s">
        <v>2312</v>
      </c>
      <c r="GX2" s="202" t="s">
        <v>2313</v>
      </c>
      <c r="GY2" s="202" t="s">
        <v>1099</v>
      </c>
      <c r="GZ2" s="202" t="s">
        <v>1100</v>
      </c>
      <c r="HA2" s="202" t="s">
        <v>1101</v>
      </c>
      <c r="HB2" s="202" t="s">
        <v>1102</v>
      </c>
      <c r="HC2" s="202" t="s">
        <v>1103</v>
      </c>
      <c r="HD2" s="202" t="s">
        <v>1104</v>
      </c>
      <c r="HE2" s="202" t="s">
        <v>1105</v>
      </c>
      <c r="HF2" s="201" t="s">
        <v>1106</v>
      </c>
    </row>
    <row r="3" spans="1:214" s="203" customFormat="1" ht="22.5" customHeight="1">
      <c r="A3" s="260"/>
      <c r="B3" s="201"/>
      <c r="C3" s="201"/>
      <c r="D3" s="201"/>
      <c r="E3" s="201"/>
      <c r="F3" s="212"/>
      <c r="G3" s="212"/>
      <c r="H3" s="201"/>
      <c r="I3" s="201"/>
      <c r="J3" s="193"/>
      <c r="K3" s="193"/>
      <c r="L3" s="193"/>
      <c r="M3" s="193"/>
      <c r="N3" s="193"/>
      <c r="O3" s="193"/>
      <c r="P3" s="193"/>
      <c r="Q3" s="193"/>
      <c r="R3" s="193"/>
      <c r="S3" s="193"/>
      <c r="T3" s="193"/>
      <c r="U3" s="193"/>
      <c r="V3" s="193"/>
      <c r="W3" s="193"/>
      <c r="X3" s="193"/>
      <c r="Y3" s="193"/>
      <c r="Z3" s="193"/>
      <c r="AA3" s="193"/>
      <c r="AB3" s="193" t="s">
        <v>1107</v>
      </c>
      <c r="AC3" s="193"/>
      <c r="AD3" s="387"/>
      <c r="AE3" s="387"/>
      <c r="AF3" s="387"/>
      <c r="AG3" s="193"/>
      <c r="AH3" s="193"/>
      <c r="AI3" s="193"/>
      <c r="AJ3" s="193"/>
      <c r="AK3" s="193"/>
      <c r="AL3" s="193"/>
      <c r="AM3" s="193"/>
      <c r="AN3" s="261"/>
      <c r="AO3" s="193"/>
      <c r="AP3" s="193"/>
      <c r="AQ3" s="193"/>
      <c r="AR3" s="193"/>
      <c r="AS3" s="193"/>
      <c r="AT3" s="193"/>
      <c r="AU3" s="194" t="s">
        <v>1108</v>
      </c>
      <c r="AV3" s="194" t="s">
        <v>1109</v>
      </c>
      <c r="AW3" s="194" t="s">
        <v>1110</v>
      </c>
      <c r="AX3" s="194" t="s">
        <v>1111</v>
      </c>
      <c r="AY3" s="194" t="s">
        <v>1112</v>
      </c>
      <c r="AZ3" s="194" t="s">
        <v>1113</v>
      </c>
      <c r="BA3" s="194" t="s">
        <v>1114</v>
      </c>
      <c r="BB3" s="194" t="s">
        <v>1115</v>
      </c>
      <c r="BC3" s="194" t="s">
        <v>1116</v>
      </c>
      <c r="BD3" s="196" t="s">
        <v>2291</v>
      </c>
      <c r="BE3" s="196" t="s">
        <v>2292</v>
      </c>
      <c r="BF3" s="196" t="s">
        <v>2293</v>
      </c>
      <c r="BG3" s="196" t="s">
        <v>2294</v>
      </c>
      <c r="BH3" s="196" t="s">
        <v>2295</v>
      </c>
      <c r="BI3" s="196" t="s">
        <v>2296</v>
      </c>
      <c r="BJ3" s="196" t="s">
        <v>1556</v>
      </c>
      <c r="BK3" s="196" t="s">
        <v>1557</v>
      </c>
      <c r="BL3" s="196" t="s">
        <v>1558</v>
      </c>
      <c r="BM3" s="196" t="s">
        <v>1387</v>
      </c>
      <c r="BN3" s="196" t="s">
        <v>1559</v>
      </c>
      <c r="BO3" s="196" t="s">
        <v>1560</v>
      </c>
      <c r="BP3" s="196" t="s">
        <v>1561</v>
      </c>
      <c r="BQ3" s="196" t="s">
        <v>1562</v>
      </c>
      <c r="BR3" s="196" t="s">
        <v>2802</v>
      </c>
      <c r="BS3" s="196" t="s">
        <v>2919</v>
      </c>
      <c r="BT3" s="196" t="s">
        <v>2920</v>
      </c>
      <c r="BU3" s="196" t="s">
        <v>2921</v>
      </c>
      <c r="BV3" s="196" t="s">
        <v>2922</v>
      </c>
      <c r="BW3" s="196" t="s">
        <v>2923</v>
      </c>
      <c r="BX3" s="196" t="s">
        <v>2924</v>
      </c>
      <c r="BY3" s="196" t="s">
        <v>2669</v>
      </c>
      <c r="BZ3" s="196" t="s">
        <v>2670</v>
      </c>
      <c r="CA3" s="196" t="s">
        <v>3225</v>
      </c>
      <c r="CB3" s="196" t="s">
        <v>2671</v>
      </c>
      <c r="CC3" s="196" t="s">
        <v>2672</v>
      </c>
      <c r="CD3" s="196" t="s">
        <v>2673</v>
      </c>
      <c r="CE3" s="196" t="s">
        <v>2674</v>
      </c>
      <c r="CF3" s="196" t="s">
        <v>2675</v>
      </c>
      <c r="CG3" s="196" t="s">
        <v>2676</v>
      </c>
      <c r="CH3" s="196" t="s">
        <v>2677</v>
      </c>
      <c r="CI3" s="196" t="s">
        <v>2678</v>
      </c>
      <c r="CJ3" s="201" t="s">
        <v>1117</v>
      </c>
      <c r="CK3" s="262" t="s">
        <v>1118</v>
      </c>
      <c r="CL3" s="201" t="s">
        <v>1119</v>
      </c>
      <c r="CM3" s="201" t="s">
        <v>1120</v>
      </c>
      <c r="CN3" s="201" t="s">
        <v>1121</v>
      </c>
      <c r="CO3" s="201" t="s">
        <v>1122</v>
      </c>
      <c r="CP3" s="201" t="s">
        <v>1123</v>
      </c>
      <c r="CQ3" s="201" t="s">
        <v>1124</v>
      </c>
      <c r="CR3" s="204" t="s">
        <v>1125</v>
      </c>
      <c r="CS3" s="204" t="s">
        <v>1126</v>
      </c>
      <c r="CT3" s="201" t="s">
        <v>1127</v>
      </c>
      <c r="CU3" s="201" t="s">
        <v>1128</v>
      </c>
      <c r="CV3" s="201" t="s">
        <v>1129</v>
      </c>
      <c r="CW3" s="201" t="s">
        <v>1130</v>
      </c>
      <c r="CX3" s="201" t="s">
        <v>2679</v>
      </c>
      <c r="CY3" s="201" t="s">
        <v>1131</v>
      </c>
      <c r="CZ3" s="201" t="s">
        <v>1132</v>
      </c>
      <c r="DA3" s="201" t="s">
        <v>1131</v>
      </c>
      <c r="DB3" s="201" t="s">
        <v>1132</v>
      </c>
      <c r="DC3" s="201" t="s">
        <v>1133</v>
      </c>
      <c r="DD3" s="200" t="s">
        <v>2680</v>
      </c>
      <c r="DE3" s="200" t="s">
        <v>2681</v>
      </c>
      <c r="DF3" s="200" t="s">
        <v>2680</v>
      </c>
      <c r="DG3" s="200" t="s">
        <v>2681</v>
      </c>
      <c r="DH3" s="200" t="s">
        <v>2680</v>
      </c>
      <c r="DI3" s="200" t="s">
        <v>2681</v>
      </c>
      <c r="DJ3" s="200" t="s">
        <v>2680</v>
      </c>
      <c r="DK3" s="200" t="s">
        <v>2681</v>
      </c>
      <c r="DL3" s="200" t="s">
        <v>2680</v>
      </c>
      <c r="DM3" s="200" t="s">
        <v>2681</v>
      </c>
      <c r="DN3" s="205" t="s">
        <v>2682</v>
      </c>
      <c r="DO3" s="205" t="s">
        <v>2683</v>
      </c>
      <c r="DP3" s="263"/>
      <c r="DQ3" s="193" t="s">
        <v>2680</v>
      </c>
      <c r="DR3" s="193" t="s">
        <v>1134</v>
      </c>
      <c r="DS3" s="193" t="s">
        <v>2680</v>
      </c>
      <c r="DT3" s="193" t="s">
        <v>2681</v>
      </c>
      <c r="DU3" s="193" t="s">
        <v>2680</v>
      </c>
      <c r="DV3" s="193" t="s">
        <v>2681</v>
      </c>
      <c r="DW3" s="206" t="s">
        <v>2680</v>
      </c>
      <c r="DX3" s="206" t="s">
        <v>2681</v>
      </c>
      <c r="DY3" s="193" t="s">
        <v>2680</v>
      </c>
      <c r="DZ3" s="193" t="s">
        <v>2681</v>
      </c>
      <c r="EA3" s="193" t="s">
        <v>2680</v>
      </c>
      <c r="EB3" s="193" t="s">
        <v>2681</v>
      </c>
      <c r="EC3" s="193" t="s">
        <v>2680</v>
      </c>
      <c r="ED3" s="193" t="s">
        <v>2681</v>
      </c>
      <c r="EE3" s="193" t="s">
        <v>2680</v>
      </c>
      <c r="EF3" s="193" t="s">
        <v>2681</v>
      </c>
      <c r="EG3" s="193" t="s">
        <v>2680</v>
      </c>
      <c r="EH3" s="193" t="s">
        <v>2681</v>
      </c>
      <c r="EI3" s="193"/>
      <c r="EJ3" s="193" t="s">
        <v>2684</v>
      </c>
      <c r="EK3" s="193" t="s">
        <v>2685</v>
      </c>
      <c r="EL3" s="193" t="s">
        <v>2686</v>
      </c>
      <c r="EM3" s="193" t="s">
        <v>2687</v>
      </c>
      <c r="EN3" s="193" t="s">
        <v>1135</v>
      </c>
      <c r="EO3" s="201"/>
      <c r="EP3" s="201"/>
      <c r="EQ3" s="201"/>
      <c r="ER3" s="201"/>
      <c r="ES3" s="201"/>
      <c r="ET3" s="201"/>
      <c r="EU3" s="201"/>
      <c r="EV3" s="201"/>
      <c r="EW3" s="201"/>
      <c r="EX3" s="201"/>
      <c r="EY3" s="201"/>
      <c r="EZ3" s="201"/>
      <c r="FA3" s="201"/>
      <c r="FB3" s="201"/>
      <c r="FC3" s="201"/>
      <c r="FD3" s="201"/>
      <c r="FE3" s="201"/>
      <c r="FF3" s="201"/>
      <c r="FG3" s="201"/>
      <c r="FH3" s="201"/>
      <c r="FI3" s="201"/>
      <c r="FJ3" s="201"/>
      <c r="FK3" s="199"/>
      <c r="FL3" s="199"/>
      <c r="FM3" s="199"/>
      <c r="FN3" s="199"/>
      <c r="FO3" s="199"/>
      <c r="FP3" s="199"/>
      <c r="FQ3" s="199"/>
      <c r="FR3" s="199"/>
      <c r="FS3" s="199"/>
      <c r="FT3" s="199"/>
      <c r="FU3" s="199"/>
      <c r="FV3" s="199"/>
      <c r="FW3" s="199"/>
      <c r="FX3" s="199"/>
      <c r="FY3" s="199"/>
      <c r="FZ3" s="199"/>
      <c r="GA3" s="199"/>
      <c r="GB3" s="199"/>
      <c r="GC3" s="199"/>
      <c r="GD3" s="199"/>
      <c r="GE3" s="199"/>
      <c r="GF3" s="199"/>
      <c r="GG3" s="199"/>
      <c r="GH3" s="199"/>
      <c r="GI3" s="199"/>
      <c r="GJ3" s="199"/>
      <c r="GK3" s="199"/>
      <c r="GL3" s="199"/>
      <c r="GM3" s="199"/>
      <c r="GN3" s="199"/>
      <c r="GO3" s="199"/>
      <c r="GP3" s="199"/>
      <c r="GQ3" s="199"/>
      <c r="GR3" s="199"/>
      <c r="GS3" s="199"/>
      <c r="GT3" s="199"/>
      <c r="GU3" s="199"/>
      <c r="GV3" s="199"/>
      <c r="GW3" s="199"/>
      <c r="GX3" s="199"/>
      <c r="GY3" s="199"/>
      <c r="GZ3" s="199"/>
      <c r="HA3" s="199"/>
      <c r="HB3" s="199"/>
      <c r="HC3" s="199"/>
      <c r="HD3" s="199"/>
      <c r="HE3" s="199"/>
      <c r="HF3" s="201"/>
    </row>
    <row r="4" spans="1:214" s="208" customFormat="1" ht="22.5" customHeight="1">
      <c r="A4" s="199"/>
      <c r="B4" s="199"/>
      <c r="C4" s="199"/>
      <c r="D4" s="199"/>
      <c r="E4" s="199"/>
      <c r="F4" s="199" t="s">
        <v>1136</v>
      </c>
      <c r="G4" s="199" t="s">
        <v>1137</v>
      </c>
      <c r="H4" s="199"/>
      <c r="I4" s="199"/>
      <c r="J4" s="199"/>
      <c r="K4" s="199"/>
      <c r="L4" s="199"/>
      <c r="M4" s="199" t="s">
        <v>1791</v>
      </c>
      <c r="N4" s="199" t="s">
        <v>1792</v>
      </c>
      <c r="O4" s="199" t="s">
        <v>1793</v>
      </c>
      <c r="P4" s="199"/>
      <c r="Q4" s="199"/>
      <c r="R4" s="199" t="s">
        <v>1794</v>
      </c>
      <c r="S4" s="199" t="s">
        <v>1795</v>
      </c>
      <c r="T4" s="199" t="s">
        <v>1796</v>
      </c>
      <c r="U4" s="199" t="s">
        <v>1797</v>
      </c>
      <c r="V4" s="199"/>
      <c r="W4" s="199" t="s">
        <v>1798</v>
      </c>
      <c r="X4" s="199" t="s">
        <v>1799</v>
      </c>
      <c r="Y4" s="199" t="s">
        <v>1800</v>
      </c>
      <c r="Z4" s="199" t="s">
        <v>1801</v>
      </c>
      <c r="AA4" s="199" t="s">
        <v>1802</v>
      </c>
      <c r="AB4" s="199" t="s">
        <v>1803</v>
      </c>
      <c r="AC4" s="199" t="s">
        <v>1804</v>
      </c>
      <c r="AD4" s="199" t="s">
        <v>1520</v>
      </c>
      <c r="AE4" s="199" t="s">
        <v>1521</v>
      </c>
      <c r="AF4" s="199" t="s">
        <v>1522</v>
      </c>
      <c r="AG4" s="199" t="s">
        <v>1805</v>
      </c>
      <c r="AH4" s="199" t="s">
        <v>1806</v>
      </c>
      <c r="AI4" s="199" t="s">
        <v>1807</v>
      </c>
      <c r="AJ4" s="207" t="s">
        <v>1808</v>
      </c>
      <c r="AK4" s="207" t="s">
        <v>1809</v>
      </c>
      <c r="AL4" s="207" t="s">
        <v>1810</v>
      </c>
      <c r="AM4" s="199"/>
      <c r="AN4" s="264"/>
      <c r="AO4" s="199" t="s">
        <v>1811</v>
      </c>
      <c r="AP4" s="199" t="s">
        <v>1812</v>
      </c>
      <c r="AQ4" s="199" t="s">
        <v>1813</v>
      </c>
      <c r="AR4" s="199" t="s">
        <v>1814</v>
      </c>
      <c r="AS4" s="199" t="s">
        <v>1815</v>
      </c>
      <c r="AT4" s="199" t="s">
        <v>1816</v>
      </c>
      <c r="AU4" s="199" t="s">
        <v>1817</v>
      </c>
      <c r="AV4" s="199" t="s">
        <v>1818</v>
      </c>
      <c r="AW4" s="199" t="s">
        <v>1819</v>
      </c>
      <c r="AX4" s="199" t="s">
        <v>1820</v>
      </c>
      <c r="AY4" s="199" t="s">
        <v>1821</v>
      </c>
      <c r="AZ4" s="199" t="s">
        <v>1822</v>
      </c>
      <c r="BA4" s="199" t="s">
        <v>3050</v>
      </c>
      <c r="BB4" s="199" t="s">
        <v>3051</v>
      </c>
      <c r="BC4" s="199" t="s">
        <v>3052</v>
      </c>
      <c r="BD4" s="199" t="s">
        <v>3053</v>
      </c>
      <c r="BE4" s="199" t="s">
        <v>3054</v>
      </c>
      <c r="BF4" s="199" t="s">
        <v>3055</v>
      </c>
      <c r="BG4" s="199" t="s">
        <v>2688</v>
      </c>
      <c r="BH4" s="199" t="s">
        <v>3056</v>
      </c>
      <c r="BI4" s="199" t="s">
        <v>2689</v>
      </c>
      <c r="BJ4" s="199" t="s">
        <v>2690</v>
      </c>
      <c r="BK4" s="199" t="s">
        <v>3057</v>
      </c>
      <c r="BL4" s="199" t="s">
        <v>3058</v>
      </c>
      <c r="BM4" s="199" t="s">
        <v>2691</v>
      </c>
      <c r="BN4" s="199" t="s">
        <v>3059</v>
      </c>
      <c r="BO4" s="199" t="s">
        <v>3060</v>
      </c>
      <c r="BP4" s="199" t="s">
        <v>2692</v>
      </c>
      <c r="BQ4" s="199" t="s">
        <v>3061</v>
      </c>
      <c r="BR4" s="199" t="s">
        <v>3062</v>
      </c>
      <c r="BS4" s="199" t="s">
        <v>3063</v>
      </c>
      <c r="BT4" s="199" t="s">
        <v>3064</v>
      </c>
      <c r="BU4" s="199" t="s">
        <v>3065</v>
      </c>
      <c r="BV4" s="199" t="s">
        <v>2693</v>
      </c>
      <c r="BW4" s="199" t="s">
        <v>3066</v>
      </c>
      <c r="BX4" s="199" t="s">
        <v>2694</v>
      </c>
      <c r="BY4" s="199" t="s">
        <v>2695</v>
      </c>
      <c r="BZ4" s="199" t="s">
        <v>3067</v>
      </c>
      <c r="CA4" s="199" t="s">
        <v>2696</v>
      </c>
      <c r="CB4" s="199" t="s">
        <v>3068</v>
      </c>
      <c r="CC4" s="199" t="s">
        <v>3069</v>
      </c>
      <c r="CD4" s="199" t="s">
        <v>2697</v>
      </c>
      <c r="CE4" s="199" t="s">
        <v>3070</v>
      </c>
      <c r="CF4" s="199" t="s">
        <v>3071</v>
      </c>
      <c r="CG4" s="199" t="s">
        <v>3072</v>
      </c>
      <c r="CH4" s="199" t="s">
        <v>377</v>
      </c>
      <c r="CI4" s="199" t="s">
        <v>378</v>
      </c>
      <c r="CJ4" s="199" t="s">
        <v>379</v>
      </c>
      <c r="CK4" s="199" t="s">
        <v>380</v>
      </c>
      <c r="CL4" s="199" t="s">
        <v>381</v>
      </c>
      <c r="CM4" s="199" t="s">
        <v>382</v>
      </c>
      <c r="CN4" s="199" t="s">
        <v>383</v>
      </c>
      <c r="CO4" s="199" t="s">
        <v>384</v>
      </c>
      <c r="CP4" s="199" t="s">
        <v>385</v>
      </c>
      <c r="CQ4" s="199" t="s">
        <v>386</v>
      </c>
      <c r="CR4" s="199" t="s">
        <v>387</v>
      </c>
      <c r="CS4" s="199" t="s">
        <v>388</v>
      </c>
      <c r="CT4" s="199" t="s">
        <v>389</v>
      </c>
      <c r="CU4" s="199" t="s">
        <v>390</v>
      </c>
      <c r="CV4" s="199" t="s">
        <v>391</v>
      </c>
      <c r="CW4" s="199" t="s">
        <v>2698</v>
      </c>
      <c r="CX4" s="199" t="s">
        <v>392</v>
      </c>
      <c r="CY4" s="199" t="s">
        <v>393</v>
      </c>
      <c r="CZ4" s="199" t="s">
        <v>394</v>
      </c>
      <c r="DA4" s="199" t="s">
        <v>395</v>
      </c>
      <c r="DB4" s="199" t="s">
        <v>396</v>
      </c>
      <c r="DC4" s="199" t="s">
        <v>397</v>
      </c>
      <c r="DD4" s="199" t="s">
        <v>398</v>
      </c>
      <c r="DE4" s="199" t="s">
        <v>399</v>
      </c>
      <c r="DF4" s="199" t="s">
        <v>400</v>
      </c>
      <c r="DG4" s="199" t="s">
        <v>401</v>
      </c>
      <c r="DH4" s="199" t="s">
        <v>402</v>
      </c>
      <c r="DI4" s="199" t="s">
        <v>403</v>
      </c>
      <c r="DJ4" s="199" t="s">
        <v>404</v>
      </c>
      <c r="DK4" s="199" t="s">
        <v>405</v>
      </c>
      <c r="DL4" s="199" t="s">
        <v>406</v>
      </c>
      <c r="DM4" s="199" t="s">
        <v>407</v>
      </c>
      <c r="DN4" s="199" t="s">
        <v>2184</v>
      </c>
      <c r="DO4" s="199" t="s">
        <v>2185</v>
      </c>
      <c r="DP4" s="199"/>
      <c r="DQ4" s="199" t="s">
        <v>2186</v>
      </c>
      <c r="DR4" s="199" t="s">
        <v>2187</v>
      </c>
      <c r="DS4" s="199" t="s">
        <v>2188</v>
      </c>
      <c r="DT4" s="199" t="s">
        <v>2189</v>
      </c>
      <c r="DU4" s="199" t="s">
        <v>2190</v>
      </c>
      <c r="DV4" s="199" t="s">
        <v>2191</v>
      </c>
      <c r="DW4" s="199" t="s">
        <v>2192</v>
      </c>
      <c r="DX4" s="199" t="s">
        <v>2193</v>
      </c>
      <c r="DY4" s="199" t="s">
        <v>2194</v>
      </c>
      <c r="DZ4" s="199" t="s">
        <v>2195</v>
      </c>
      <c r="EA4" s="199" t="s">
        <v>2196</v>
      </c>
      <c r="EB4" s="199" t="s">
        <v>2197</v>
      </c>
      <c r="EC4" s="199" t="s">
        <v>2198</v>
      </c>
      <c r="ED4" s="199" t="s">
        <v>2199</v>
      </c>
      <c r="EE4" s="199" t="s">
        <v>2200</v>
      </c>
      <c r="EF4" s="199" t="s">
        <v>2201</v>
      </c>
      <c r="EG4" s="199" t="s">
        <v>2202</v>
      </c>
      <c r="EH4" s="199" t="s">
        <v>2203</v>
      </c>
      <c r="EI4" s="199"/>
      <c r="EJ4" s="199" t="s">
        <v>2204</v>
      </c>
      <c r="EK4" s="199" t="s">
        <v>2205</v>
      </c>
      <c r="EL4" s="199" t="s">
        <v>2206</v>
      </c>
      <c r="EM4" s="199" t="s">
        <v>2207</v>
      </c>
      <c r="EN4" s="199" t="s">
        <v>2208</v>
      </c>
      <c r="EO4" s="199"/>
      <c r="EP4" s="199" t="s">
        <v>2209</v>
      </c>
      <c r="EQ4" s="199" t="s">
        <v>2210</v>
      </c>
      <c r="ER4" s="199" t="s">
        <v>2211</v>
      </c>
      <c r="ES4" s="199" t="s">
        <v>2212</v>
      </c>
      <c r="ET4" s="199" t="s">
        <v>2213</v>
      </c>
      <c r="EU4" s="199" t="s">
        <v>2214</v>
      </c>
      <c r="EV4" s="199" t="s">
        <v>2215</v>
      </c>
      <c r="EW4" s="199" t="s">
        <v>2216</v>
      </c>
      <c r="EX4" s="199" t="s">
        <v>652</v>
      </c>
      <c r="EY4" s="199" t="s">
        <v>653</v>
      </c>
      <c r="EZ4" s="199" t="s">
        <v>654</v>
      </c>
      <c r="FA4" s="199" t="s">
        <v>655</v>
      </c>
      <c r="FB4" s="199" t="s">
        <v>656</v>
      </c>
      <c r="FC4" s="199" t="s">
        <v>657</v>
      </c>
      <c r="FD4" s="199" t="s">
        <v>658</v>
      </c>
      <c r="FE4" s="199" t="s">
        <v>659</v>
      </c>
      <c r="FF4" s="199" t="s">
        <v>660</v>
      </c>
      <c r="FG4" s="199" t="s">
        <v>661</v>
      </c>
      <c r="FH4" s="199" t="s">
        <v>662</v>
      </c>
      <c r="FI4" s="199"/>
      <c r="FJ4" s="199"/>
      <c r="FK4" s="199" t="s">
        <v>663</v>
      </c>
      <c r="FL4" s="199" t="s">
        <v>664</v>
      </c>
      <c r="FM4" s="199" t="s">
        <v>665</v>
      </c>
      <c r="FN4" s="199" t="s">
        <v>666</v>
      </c>
      <c r="FO4" s="199" t="s">
        <v>667</v>
      </c>
      <c r="FP4" s="199" t="s">
        <v>668</v>
      </c>
      <c r="FQ4" s="199" t="s">
        <v>669</v>
      </c>
      <c r="FR4" s="199" t="s">
        <v>670</v>
      </c>
      <c r="FS4" s="199" t="s">
        <v>671</v>
      </c>
      <c r="FT4" s="199" t="s">
        <v>672</v>
      </c>
      <c r="FU4" s="199" t="s">
        <v>673</v>
      </c>
      <c r="FV4" s="199" t="s">
        <v>674</v>
      </c>
      <c r="FW4" s="199" t="s">
        <v>675</v>
      </c>
      <c r="FX4" s="199" t="s">
        <v>676</v>
      </c>
      <c r="FY4" s="199" t="s">
        <v>677</v>
      </c>
      <c r="FZ4" s="199" t="s">
        <v>678</v>
      </c>
      <c r="GA4" s="199" t="s">
        <v>679</v>
      </c>
      <c r="GB4" s="199" t="s">
        <v>680</v>
      </c>
      <c r="GC4" s="199" t="s">
        <v>681</v>
      </c>
      <c r="GD4" s="199" t="s">
        <v>682</v>
      </c>
      <c r="GE4" s="199" t="s">
        <v>683</v>
      </c>
      <c r="GF4" s="199" t="s">
        <v>947</v>
      </c>
      <c r="GG4" s="199" t="s">
        <v>948</v>
      </c>
      <c r="GH4" s="199" t="s">
        <v>949</v>
      </c>
      <c r="GI4" s="199" t="s">
        <v>950</v>
      </c>
      <c r="GJ4" s="199" t="s">
        <v>1466</v>
      </c>
      <c r="GK4" s="199" t="s">
        <v>1467</v>
      </c>
      <c r="GL4" s="199" t="s">
        <v>1468</v>
      </c>
      <c r="GM4" s="199" t="s">
        <v>1469</v>
      </c>
      <c r="GN4" s="199" t="s">
        <v>1470</v>
      </c>
      <c r="GO4" s="199" t="s">
        <v>1471</v>
      </c>
      <c r="GP4" s="199" t="s">
        <v>1472</v>
      </c>
      <c r="GQ4" s="199" t="s">
        <v>1473</v>
      </c>
      <c r="GR4" s="199" t="s">
        <v>1474</v>
      </c>
      <c r="GS4" s="199" t="s">
        <v>1475</v>
      </c>
      <c r="GT4" s="199" t="s">
        <v>1476</v>
      </c>
      <c r="GU4" s="199" t="s">
        <v>1477</v>
      </c>
      <c r="GV4" s="199" t="s">
        <v>1478</v>
      </c>
      <c r="GW4" s="199" t="s">
        <v>1479</v>
      </c>
      <c r="GX4" s="199" t="s">
        <v>1480</v>
      </c>
      <c r="GY4" s="199" t="s">
        <v>3156</v>
      </c>
      <c r="GZ4" s="199" t="s">
        <v>3157</v>
      </c>
      <c r="HA4" s="199" t="s">
        <v>3158</v>
      </c>
      <c r="HB4" s="199" t="s">
        <v>3159</v>
      </c>
      <c r="HC4" s="199" t="s">
        <v>3160</v>
      </c>
      <c r="HD4" s="199" t="s">
        <v>3161</v>
      </c>
      <c r="HE4" s="199" t="s">
        <v>3162</v>
      </c>
      <c r="HF4" s="199"/>
    </row>
    <row r="5" spans="1:214" s="213" customFormat="1" ht="22.5" customHeight="1">
      <c r="A5" s="265" t="s">
        <v>3163</v>
      </c>
      <c r="B5" s="265"/>
      <c r="C5" s="265"/>
      <c r="D5" s="265"/>
      <c r="E5" s="216"/>
      <c r="F5" s="211"/>
      <c r="G5" s="211"/>
      <c r="H5" s="200"/>
      <c r="I5" s="216" t="s">
        <v>2494</v>
      </c>
      <c r="J5" s="210"/>
      <c r="K5" s="210"/>
      <c r="L5" s="410" t="s">
        <v>3339</v>
      </c>
      <c r="M5" s="193"/>
      <c r="N5" s="193"/>
      <c r="O5" s="193"/>
      <c r="P5" s="193"/>
      <c r="Q5" s="193"/>
      <c r="R5" s="210"/>
      <c r="S5" s="210"/>
      <c r="T5" s="210"/>
      <c r="U5" s="210"/>
      <c r="V5" s="210"/>
      <c r="W5" s="210"/>
      <c r="X5" s="210"/>
      <c r="Y5" s="210"/>
      <c r="Z5" s="210"/>
      <c r="AA5" s="210"/>
      <c r="AB5" s="210"/>
      <c r="AC5" s="210"/>
      <c r="AD5" s="210"/>
      <c r="AE5" s="210"/>
      <c r="AF5" s="210"/>
      <c r="AG5" s="210"/>
      <c r="AH5" s="210"/>
      <c r="AI5" s="210"/>
      <c r="AJ5" s="210"/>
      <c r="AK5" s="210"/>
      <c r="AL5" s="210"/>
      <c r="AM5" s="210"/>
      <c r="AN5" s="268"/>
      <c r="AO5" s="210"/>
      <c r="AP5" s="210"/>
      <c r="AQ5" s="210"/>
      <c r="AR5" s="210"/>
      <c r="AS5" s="210"/>
      <c r="AT5" s="210"/>
      <c r="AU5" s="210"/>
      <c r="AV5" s="210"/>
      <c r="AW5" s="210"/>
      <c r="AX5" s="210"/>
      <c r="AY5" s="210"/>
      <c r="AZ5" s="210"/>
      <c r="BA5" s="210"/>
      <c r="BB5" s="210"/>
      <c r="BC5" s="210"/>
      <c r="BD5" s="269"/>
      <c r="BE5" s="269"/>
      <c r="BF5" s="269"/>
      <c r="BG5" s="269"/>
      <c r="BH5" s="269"/>
      <c r="BI5" s="269"/>
      <c r="BJ5" s="269"/>
      <c r="BK5" s="269"/>
      <c r="BL5" s="269"/>
      <c r="BM5" s="269"/>
      <c r="BN5" s="269"/>
      <c r="BO5" s="269"/>
      <c r="BP5" s="269"/>
      <c r="BQ5" s="269"/>
      <c r="BR5" s="269"/>
      <c r="BS5" s="269"/>
      <c r="BT5" s="269"/>
      <c r="BU5" s="269"/>
      <c r="BV5" s="269"/>
      <c r="BW5" s="269"/>
      <c r="BX5" s="269"/>
      <c r="BY5" s="269"/>
      <c r="BZ5" s="269"/>
      <c r="CA5" s="269"/>
      <c r="CB5" s="269"/>
      <c r="CC5" s="269"/>
      <c r="CD5" s="269"/>
      <c r="CE5" s="269"/>
      <c r="CF5" s="269"/>
      <c r="CG5" s="269"/>
      <c r="CH5" s="269"/>
      <c r="CI5" s="269"/>
      <c r="CJ5" s="211"/>
      <c r="CK5" s="211"/>
      <c r="CL5" s="211"/>
      <c r="CM5" s="211"/>
      <c r="CN5" s="211"/>
      <c r="CO5" s="211"/>
      <c r="CP5" s="211"/>
      <c r="CQ5" s="211"/>
      <c r="CR5" s="270"/>
      <c r="CS5" s="270"/>
      <c r="CT5" s="211"/>
      <c r="CU5" s="211"/>
      <c r="CV5" s="211"/>
      <c r="CW5" s="211"/>
      <c r="CX5" s="211"/>
      <c r="CY5" s="211"/>
      <c r="CZ5" s="211"/>
      <c r="DA5" s="211"/>
      <c r="DB5" s="211"/>
      <c r="DC5" s="211"/>
      <c r="DD5" s="211"/>
      <c r="DE5" s="211"/>
      <c r="DF5" s="211"/>
      <c r="DG5" s="211"/>
      <c r="DH5" s="211"/>
      <c r="DI5" s="211"/>
      <c r="DJ5" s="211"/>
      <c r="DK5" s="211"/>
      <c r="DL5" s="211"/>
      <c r="DM5" s="211"/>
      <c r="DN5" s="210"/>
      <c r="DO5" s="210"/>
      <c r="DP5" s="211"/>
      <c r="DQ5" s="210"/>
      <c r="DR5" s="210"/>
      <c r="DS5" s="210"/>
      <c r="DT5" s="210"/>
      <c r="DU5" s="211"/>
      <c r="DV5" s="211"/>
      <c r="DW5" s="271"/>
      <c r="DX5" s="271"/>
      <c r="DY5" s="211"/>
      <c r="DZ5" s="211"/>
      <c r="EA5" s="211"/>
      <c r="EB5" s="211"/>
      <c r="EC5" s="211"/>
      <c r="ED5" s="211"/>
      <c r="EE5" s="211"/>
      <c r="EF5" s="211"/>
      <c r="EG5" s="211"/>
      <c r="EH5" s="211"/>
      <c r="EI5" s="212"/>
      <c r="EJ5" s="212"/>
      <c r="EK5" s="212"/>
      <c r="EL5" s="212"/>
      <c r="EM5" s="212"/>
      <c r="EN5" s="212"/>
      <c r="EO5" s="211"/>
      <c r="EP5" s="211"/>
      <c r="EQ5" s="211"/>
      <c r="ER5" s="211"/>
      <c r="ES5" s="211"/>
      <c r="ET5" s="211"/>
      <c r="EU5" s="211"/>
      <c r="EV5" s="211"/>
      <c r="EW5" s="211"/>
      <c r="EX5" s="211"/>
      <c r="EY5" s="211"/>
      <c r="EZ5" s="211"/>
      <c r="FA5" s="211"/>
      <c r="FB5" s="211"/>
      <c r="FC5" s="211"/>
      <c r="FD5" s="211"/>
      <c r="FE5" s="211"/>
      <c r="FF5" s="211"/>
      <c r="FG5" s="211"/>
      <c r="FH5" s="211"/>
      <c r="FI5" s="211"/>
      <c r="FJ5" s="211"/>
      <c r="FK5" s="211"/>
      <c r="FL5" s="211"/>
      <c r="FM5" s="211"/>
      <c r="FN5" s="211"/>
      <c r="FO5" s="211"/>
      <c r="FP5" s="211"/>
      <c r="FQ5" s="211"/>
      <c r="FR5" s="211"/>
      <c r="FS5" s="211"/>
      <c r="FT5" s="211"/>
      <c r="FU5" s="211"/>
      <c r="FV5" s="211"/>
      <c r="FW5" s="211"/>
      <c r="FX5" s="211"/>
      <c r="FY5" s="211"/>
      <c r="FZ5" s="211"/>
      <c r="GA5" s="211"/>
      <c r="GB5" s="211"/>
      <c r="GC5" s="211"/>
      <c r="GD5" s="211"/>
      <c r="GE5" s="211"/>
      <c r="GF5" s="211"/>
      <c r="GG5" s="211"/>
      <c r="GH5" s="211"/>
      <c r="GI5" s="211"/>
      <c r="GJ5" s="211"/>
      <c r="GK5" s="211"/>
      <c r="GL5" s="211"/>
      <c r="GM5" s="211"/>
      <c r="GN5" s="211"/>
      <c r="GO5" s="211"/>
      <c r="GP5" s="211"/>
      <c r="GQ5" s="211"/>
      <c r="GR5" s="211"/>
      <c r="GS5" s="211"/>
      <c r="GT5" s="211"/>
      <c r="GU5" s="211"/>
      <c r="GV5" s="211"/>
      <c r="GW5" s="211"/>
      <c r="GX5" s="211"/>
      <c r="GY5" s="211"/>
      <c r="GZ5" s="211"/>
      <c r="HA5" s="211"/>
      <c r="HB5" s="211"/>
      <c r="HC5" s="211"/>
      <c r="HD5" s="211"/>
      <c r="HE5" s="211"/>
      <c r="HF5" s="211"/>
    </row>
    <row r="6" spans="1:214" s="215" customFormat="1" ht="22.5" customHeight="1">
      <c r="A6" s="204"/>
      <c r="B6" s="204" t="s">
        <v>2699</v>
      </c>
      <c r="C6" s="204"/>
      <c r="D6" s="204" t="s">
        <v>3164</v>
      </c>
      <c r="E6" s="204" t="s">
        <v>3165</v>
      </c>
      <c r="F6" s="204"/>
      <c r="G6" s="214">
        <v>1</v>
      </c>
      <c r="H6" s="206"/>
      <c r="I6" s="204"/>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10"/>
      <c r="AL6" s="210"/>
      <c r="AM6" s="269"/>
      <c r="AN6" s="272"/>
      <c r="AO6" s="269"/>
      <c r="AP6" s="210"/>
      <c r="AQ6" s="210"/>
      <c r="AR6" s="210"/>
      <c r="AS6" s="210"/>
      <c r="AT6" s="210"/>
      <c r="AU6" s="210"/>
      <c r="AV6" s="210"/>
      <c r="AW6" s="210"/>
      <c r="AX6" s="210"/>
      <c r="AY6" s="210"/>
      <c r="AZ6" s="210"/>
      <c r="BA6" s="210"/>
      <c r="BB6" s="210"/>
      <c r="BC6" s="210"/>
      <c r="BD6" s="269"/>
      <c r="BE6" s="269"/>
      <c r="BF6" s="269"/>
      <c r="BG6" s="269"/>
      <c r="BH6" s="269"/>
      <c r="BI6" s="269"/>
      <c r="BJ6" s="269"/>
      <c r="BK6" s="269"/>
      <c r="BL6" s="269"/>
      <c r="BM6" s="269"/>
      <c r="BN6" s="269"/>
      <c r="BO6" s="269"/>
      <c r="BP6" s="269"/>
      <c r="BQ6" s="269"/>
      <c r="BR6" s="269"/>
      <c r="BS6" s="269"/>
      <c r="BT6" s="269"/>
      <c r="BU6" s="269"/>
      <c r="BV6" s="269"/>
      <c r="BW6" s="269"/>
      <c r="BX6" s="269"/>
      <c r="BY6" s="269"/>
      <c r="BZ6" s="269"/>
      <c r="CA6" s="269"/>
      <c r="CB6" s="269"/>
      <c r="CC6" s="269"/>
      <c r="CD6" s="269"/>
      <c r="CE6" s="269"/>
      <c r="CF6" s="269"/>
      <c r="CG6" s="269"/>
      <c r="CH6" s="269"/>
      <c r="CI6" s="269"/>
      <c r="CJ6" s="212"/>
      <c r="CK6" s="212"/>
      <c r="CL6" s="212"/>
      <c r="CM6" s="212"/>
      <c r="CN6" s="212"/>
      <c r="CO6" s="212"/>
      <c r="CP6" s="212"/>
      <c r="CQ6" s="212"/>
      <c r="CR6" s="214"/>
      <c r="CS6" s="214"/>
      <c r="CT6" s="212"/>
      <c r="CU6" s="212"/>
      <c r="CV6" s="212"/>
      <c r="CW6" s="212"/>
      <c r="CX6" s="212"/>
      <c r="CY6" s="212"/>
      <c r="CZ6" s="212"/>
      <c r="DA6" s="212"/>
      <c r="DB6" s="212"/>
      <c r="DC6" s="212"/>
      <c r="DD6" s="212"/>
      <c r="DE6" s="212"/>
      <c r="DF6" s="212"/>
      <c r="DG6" s="212"/>
      <c r="DH6" s="212"/>
      <c r="DI6" s="212"/>
      <c r="DJ6" s="212"/>
      <c r="DK6" s="212"/>
      <c r="DL6" s="212"/>
      <c r="DM6" s="212"/>
      <c r="DN6" s="210"/>
      <c r="DO6" s="210"/>
      <c r="DP6" s="212"/>
      <c r="DQ6" s="210"/>
      <c r="DR6" s="210"/>
      <c r="DS6" s="210"/>
      <c r="DT6" s="210"/>
      <c r="DU6" s="212"/>
      <c r="DV6" s="212"/>
      <c r="DW6" s="214"/>
      <c r="DX6" s="214"/>
      <c r="DY6" s="212"/>
      <c r="DZ6" s="212"/>
      <c r="EA6" s="212"/>
      <c r="EB6" s="212"/>
      <c r="EC6" s="212"/>
      <c r="ED6" s="212"/>
      <c r="EE6" s="212"/>
      <c r="EF6" s="212"/>
      <c r="EG6" s="212"/>
      <c r="EH6" s="212"/>
      <c r="EI6" s="212"/>
      <c r="EJ6" s="212"/>
      <c r="EK6" s="212"/>
      <c r="EL6" s="212"/>
      <c r="EM6" s="212"/>
      <c r="EN6" s="212"/>
      <c r="EO6" s="212"/>
      <c r="EP6" s="212"/>
      <c r="EQ6" s="212"/>
      <c r="ER6" s="212"/>
      <c r="ES6" s="212"/>
      <c r="ET6" s="212"/>
      <c r="EU6" s="212"/>
      <c r="EV6" s="212"/>
      <c r="EW6" s="212"/>
      <c r="EX6" s="212"/>
      <c r="EY6" s="212"/>
      <c r="EZ6" s="212"/>
      <c r="FA6" s="212"/>
      <c r="FB6" s="212"/>
      <c r="FC6" s="212"/>
      <c r="FD6" s="212"/>
      <c r="FE6" s="212"/>
      <c r="FF6" s="212"/>
      <c r="FG6" s="212"/>
      <c r="FH6" s="212"/>
      <c r="FI6" s="212"/>
      <c r="FJ6" s="212"/>
      <c r="FK6" s="212"/>
      <c r="FL6" s="212"/>
      <c r="FM6" s="212"/>
      <c r="FN6" s="212"/>
      <c r="FO6" s="212"/>
      <c r="FP6" s="212"/>
      <c r="FQ6" s="212"/>
      <c r="FR6" s="212"/>
      <c r="FS6" s="212"/>
      <c r="FT6" s="212"/>
      <c r="FU6" s="212"/>
      <c r="FV6" s="212"/>
      <c r="FW6" s="212"/>
      <c r="FX6" s="212"/>
      <c r="FY6" s="212"/>
      <c r="FZ6" s="212"/>
      <c r="GA6" s="212"/>
      <c r="GB6" s="212"/>
      <c r="GC6" s="212"/>
      <c r="GD6" s="212"/>
      <c r="GE6" s="212"/>
      <c r="GF6" s="212"/>
      <c r="GG6" s="212"/>
      <c r="GH6" s="212"/>
      <c r="GI6" s="212"/>
      <c r="GJ6" s="212"/>
      <c r="GK6" s="212"/>
      <c r="GL6" s="212"/>
      <c r="GM6" s="212"/>
      <c r="GN6" s="212"/>
      <c r="GO6" s="212"/>
      <c r="GP6" s="212"/>
      <c r="GQ6" s="212"/>
      <c r="GR6" s="212"/>
      <c r="GS6" s="212"/>
      <c r="GT6" s="212"/>
      <c r="GU6" s="212"/>
      <c r="GV6" s="212"/>
      <c r="GW6" s="212"/>
      <c r="GX6" s="212"/>
      <c r="GY6" s="212"/>
      <c r="GZ6" s="212"/>
      <c r="HA6" s="212"/>
      <c r="HB6" s="212"/>
      <c r="HC6" s="212"/>
      <c r="HD6" s="212"/>
      <c r="HE6" s="212"/>
      <c r="HF6" s="212"/>
    </row>
    <row r="7" spans="1:214" s="215" customFormat="1" ht="22.5" customHeight="1">
      <c r="A7" s="204"/>
      <c r="B7" s="204" t="s">
        <v>2925</v>
      </c>
      <c r="C7" s="204"/>
      <c r="D7" s="204" t="s">
        <v>2926</v>
      </c>
      <c r="E7" s="204"/>
      <c r="F7" s="204"/>
      <c r="G7" s="214">
        <v>1</v>
      </c>
      <c r="H7" s="206"/>
      <c r="I7" s="204"/>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10"/>
      <c r="AL7" s="210"/>
      <c r="AM7" s="269"/>
      <c r="AN7" s="272"/>
      <c r="AO7" s="269"/>
      <c r="AP7" s="210"/>
      <c r="AQ7" s="210"/>
      <c r="AR7" s="210"/>
      <c r="AS7" s="210"/>
      <c r="AT7" s="210"/>
      <c r="AU7" s="210"/>
      <c r="AV7" s="210"/>
      <c r="AW7" s="210"/>
      <c r="AX7" s="210"/>
      <c r="AY7" s="210"/>
      <c r="AZ7" s="210"/>
      <c r="BA7" s="210"/>
      <c r="BB7" s="210"/>
      <c r="BC7" s="210"/>
      <c r="BD7" s="269"/>
      <c r="BE7" s="269"/>
      <c r="BF7" s="269"/>
      <c r="BG7" s="269"/>
      <c r="BH7" s="269"/>
      <c r="BI7" s="269"/>
      <c r="BJ7" s="269"/>
      <c r="BK7" s="269"/>
      <c r="BL7" s="269"/>
      <c r="BM7" s="269"/>
      <c r="BN7" s="269"/>
      <c r="BO7" s="269"/>
      <c r="BP7" s="269"/>
      <c r="BQ7" s="269"/>
      <c r="BR7" s="269"/>
      <c r="BS7" s="269"/>
      <c r="BT7" s="269"/>
      <c r="BU7" s="269"/>
      <c r="BV7" s="269"/>
      <c r="BW7" s="269"/>
      <c r="BX7" s="269"/>
      <c r="BY7" s="269"/>
      <c r="BZ7" s="269"/>
      <c r="CA7" s="269"/>
      <c r="CB7" s="269"/>
      <c r="CC7" s="269"/>
      <c r="CD7" s="269"/>
      <c r="CE7" s="269"/>
      <c r="CF7" s="269"/>
      <c r="CG7" s="269"/>
      <c r="CH7" s="269"/>
      <c r="CI7" s="269"/>
      <c r="CJ7" s="212"/>
      <c r="CK7" s="212"/>
      <c r="CL7" s="212"/>
      <c r="CM7" s="212"/>
      <c r="CN7" s="212"/>
      <c r="CO7" s="212"/>
      <c r="CP7" s="212"/>
      <c r="CQ7" s="212"/>
      <c r="CR7" s="214"/>
      <c r="CS7" s="214"/>
      <c r="CT7" s="212"/>
      <c r="CU7" s="212"/>
      <c r="CV7" s="212"/>
      <c r="CW7" s="212"/>
      <c r="CX7" s="212"/>
      <c r="CY7" s="212"/>
      <c r="CZ7" s="212"/>
      <c r="DA7" s="212"/>
      <c r="DB7" s="212"/>
      <c r="DC7" s="212"/>
      <c r="DD7" s="212"/>
      <c r="DE7" s="212"/>
      <c r="DF7" s="212"/>
      <c r="DG7" s="212"/>
      <c r="DH7" s="212"/>
      <c r="DI7" s="212"/>
      <c r="DJ7" s="212"/>
      <c r="DK7" s="212"/>
      <c r="DL7" s="212"/>
      <c r="DM7" s="212"/>
      <c r="DN7" s="210"/>
      <c r="DO7" s="210"/>
      <c r="DP7" s="212"/>
      <c r="DQ7" s="210"/>
      <c r="DR7" s="210"/>
      <c r="DS7" s="210"/>
      <c r="DT7" s="210"/>
      <c r="DU7" s="212"/>
      <c r="DV7" s="212"/>
      <c r="DW7" s="214"/>
      <c r="DX7" s="214"/>
      <c r="DY7" s="212"/>
      <c r="DZ7" s="212"/>
      <c r="EA7" s="212"/>
      <c r="EB7" s="212"/>
      <c r="EC7" s="212"/>
      <c r="ED7" s="212"/>
      <c r="EE7" s="212"/>
      <c r="EF7" s="212"/>
      <c r="EG7" s="212"/>
      <c r="EH7" s="212"/>
      <c r="EI7" s="212"/>
      <c r="EJ7" s="212"/>
      <c r="EK7" s="212"/>
      <c r="EL7" s="212"/>
      <c r="EM7" s="212"/>
      <c r="EN7" s="212"/>
      <c r="EO7" s="212"/>
      <c r="EP7" s="212"/>
      <c r="EQ7" s="212"/>
      <c r="ER7" s="212"/>
      <c r="ES7" s="212"/>
      <c r="ET7" s="212"/>
      <c r="EU7" s="212"/>
      <c r="EV7" s="212"/>
      <c r="EW7" s="212"/>
      <c r="EX7" s="212"/>
      <c r="EY7" s="212"/>
      <c r="EZ7" s="212"/>
      <c r="FA7" s="212"/>
      <c r="FB7" s="212"/>
      <c r="FC7" s="212"/>
      <c r="FD7" s="212"/>
      <c r="FE7" s="212"/>
      <c r="FF7" s="212"/>
      <c r="FG7" s="212"/>
      <c r="FH7" s="212"/>
      <c r="FI7" s="212"/>
      <c r="FJ7" s="212"/>
      <c r="FK7" s="212"/>
      <c r="FL7" s="212"/>
      <c r="FM7" s="212"/>
      <c r="FN7" s="212"/>
      <c r="FO7" s="212"/>
      <c r="FP7" s="212"/>
      <c r="FQ7" s="212"/>
      <c r="FR7" s="212"/>
      <c r="FS7" s="212"/>
      <c r="FT7" s="212"/>
      <c r="FU7" s="212"/>
      <c r="FV7" s="212"/>
      <c r="FW7" s="212"/>
      <c r="FX7" s="212"/>
      <c r="FY7" s="212"/>
      <c r="FZ7" s="212"/>
      <c r="GA7" s="212"/>
      <c r="GB7" s="212"/>
      <c r="GC7" s="212"/>
      <c r="GD7" s="212"/>
      <c r="GE7" s="212"/>
      <c r="GF7" s="212"/>
      <c r="GG7" s="212"/>
      <c r="GH7" s="212"/>
      <c r="GI7" s="212"/>
      <c r="GJ7" s="212"/>
      <c r="GK7" s="212"/>
      <c r="GL7" s="212"/>
      <c r="GM7" s="212"/>
      <c r="GN7" s="212"/>
      <c r="GO7" s="212"/>
      <c r="GP7" s="212"/>
      <c r="GQ7" s="212"/>
      <c r="GR7" s="212"/>
      <c r="GS7" s="212"/>
      <c r="GT7" s="212"/>
      <c r="GU7" s="212"/>
      <c r="GV7" s="212"/>
      <c r="GW7" s="212"/>
      <c r="GX7" s="212"/>
      <c r="GY7" s="212"/>
      <c r="GZ7" s="212"/>
      <c r="HA7" s="212"/>
      <c r="HB7" s="212"/>
      <c r="HC7" s="212"/>
      <c r="HD7" s="212"/>
      <c r="HE7" s="212"/>
      <c r="HF7" s="212"/>
    </row>
    <row r="8" spans="1:214" s="217" customFormat="1" ht="22.5" customHeight="1">
      <c r="A8" s="216"/>
      <c r="B8" s="216" t="s">
        <v>2700</v>
      </c>
      <c r="C8" s="216"/>
      <c r="D8" s="204" t="s">
        <v>3166</v>
      </c>
      <c r="E8" s="216" t="s">
        <v>3167</v>
      </c>
      <c r="F8" s="212"/>
      <c r="G8" s="212">
        <v>1</v>
      </c>
      <c r="H8" s="200"/>
      <c r="I8" s="216"/>
      <c r="J8" s="210"/>
      <c r="K8" s="210"/>
      <c r="L8" s="210"/>
      <c r="M8" s="193"/>
      <c r="N8" s="193"/>
      <c r="O8" s="193"/>
      <c r="P8" s="193"/>
      <c r="Q8" s="193"/>
      <c r="R8" s="210"/>
      <c r="S8" s="210"/>
      <c r="T8" s="210"/>
      <c r="U8" s="210"/>
      <c r="V8" s="210"/>
      <c r="W8" s="210"/>
      <c r="X8" s="210"/>
      <c r="Y8" s="210"/>
      <c r="Z8" s="210"/>
      <c r="AA8" s="210"/>
      <c r="AB8" s="210"/>
      <c r="AC8" s="210"/>
      <c r="AD8" s="210"/>
      <c r="AE8" s="210"/>
      <c r="AF8" s="210"/>
      <c r="AG8" s="210"/>
      <c r="AH8" s="210"/>
      <c r="AI8" s="210"/>
      <c r="AJ8" s="210"/>
      <c r="AK8" s="269"/>
      <c r="AL8" s="269"/>
      <c r="AM8" s="210"/>
      <c r="AN8" s="272"/>
      <c r="AO8" s="210"/>
      <c r="AP8" s="210"/>
      <c r="AQ8" s="210"/>
      <c r="AR8" s="210"/>
      <c r="AS8" s="210"/>
      <c r="AT8" s="210"/>
      <c r="AU8" s="210"/>
      <c r="AV8" s="210"/>
      <c r="AW8" s="210"/>
      <c r="AX8" s="210"/>
      <c r="AY8" s="210"/>
      <c r="AZ8" s="210"/>
      <c r="BA8" s="210"/>
      <c r="BB8" s="210"/>
      <c r="BC8" s="210"/>
      <c r="BD8" s="269"/>
      <c r="BE8" s="269"/>
      <c r="BF8" s="269"/>
      <c r="BG8" s="269"/>
      <c r="BH8" s="269"/>
      <c r="BI8" s="269"/>
      <c r="BJ8" s="269"/>
      <c r="BK8" s="269"/>
      <c r="BL8" s="269"/>
      <c r="BM8" s="269"/>
      <c r="BN8" s="269"/>
      <c r="BO8" s="269"/>
      <c r="BP8" s="269"/>
      <c r="BQ8" s="269"/>
      <c r="BR8" s="269"/>
      <c r="BS8" s="269"/>
      <c r="BT8" s="269"/>
      <c r="BU8" s="269"/>
      <c r="BV8" s="269"/>
      <c r="BW8" s="269"/>
      <c r="BX8" s="269"/>
      <c r="BY8" s="269"/>
      <c r="BZ8" s="269"/>
      <c r="CA8" s="269"/>
      <c r="CB8" s="269"/>
      <c r="CC8" s="269"/>
      <c r="CD8" s="269"/>
      <c r="CE8" s="269"/>
      <c r="CF8" s="269"/>
      <c r="CG8" s="269"/>
      <c r="CH8" s="269"/>
      <c r="CI8" s="269"/>
      <c r="CJ8" s="212"/>
      <c r="CK8" s="212"/>
      <c r="CL8" s="212"/>
      <c r="CM8" s="212"/>
      <c r="CN8" s="212"/>
      <c r="CO8" s="212"/>
      <c r="CP8" s="212"/>
      <c r="CQ8" s="212"/>
      <c r="CR8" s="214"/>
      <c r="CS8" s="214"/>
      <c r="CT8" s="212"/>
      <c r="CU8" s="212"/>
      <c r="CV8" s="212"/>
      <c r="CW8" s="212"/>
      <c r="CX8" s="212"/>
      <c r="CY8" s="212"/>
      <c r="CZ8" s="212"/>
      <c r="DA8" s="212"/>
      <c r="DB8" s="212"/>
      <c r="DC8" s="212"/>
      <c r="DD8" s="212"/>
      <c r="DE8" s="212"/>
      <c r="DF8" s="212"/>
      <c r="DG8" s="212"/>
      <c r="DH8" s="212"/>
      <c r="DI8" s="212"/>
      <c r="DJ8" s="212"/>
      <c r="DK8" s="212"/>
      <c r="DL8" s="212"/>
      <c r="DM8" s="212"/>
      <c r="DN8" s="210"/>
      <c r="DO8" s="210"/>
      <c r="DP8" s="212"/>
      <c r="DQ8" s="210"/>
      <c r="DR8" s="210"/>
      <c r="DS8" s="210"/>
      <c r="DT8" s="210"/>
      <c r="DU8" s="212"/>
      <c r="DV8" s="212"/>
      <c r="DW8" s="214"/>
      <c r="DX8" s="214"/>
      <c r="DY8" s="212"/>
      <c r="DZ8" s="212"/>
      <c r="EA8" s="212"/>
      <c r="EB8" s="212"/>
      <c r="EC8" s="212"/>
      <c r="ED8" s="212"/>
      <c r="EE8" s="212"/>
      <c r="EF8" s="212"/>
      <c r="EG8" s="212"/>
      <c r="EH8" s="212"/>
      <c r="EI8" s="212"/>
      <c r="EJ8" s="212"/>
      <c r="EK8" s="212"/>
      <c r="EL8" s="212"/>
      <c r="EM8" s="212"/>
      <c r="EN8" s="212"/>
      <c r="EO8" s="212"/>
      <c r="EP8" s="212"/>
      <c r="EQ8" s="212"/>
      <c r="ER8" s="212"/>
      <c r="ES8" s="212"/>
      <c r="ET8" s="212"/>
      <c r="EU8" s="212"/>
      <c r="EV8" s="212"/>
      <c r="EW8" s="212"/>
      <c r="EX8" s="212"/>
      <c r="EY8" s="212"/>
      <c r="EZ8" s="212"/>
      <c r="FA8" s="212"/>
      <c r="FB8" s="212"/>
      <c r="FC8" s="212"/>
      <c r="FD8" s="212"/>
      <c r="FE8" s="212"/>
      <c r="FF8" s="212"/>
      <c r="FG8" s="212"/>
      <c r="FH8" s="212"/>
      <c r="FI8" s="212"/>
      <c r="FJ8" s="212"/>
      <c r="FK8" s="212"/>
      <c r="FL8" s="212"/>
      <c r="FM8" s="212"/>
      <c r="FN8" s="212"/>
      <c r="FO8" s="212"/>
      <c r="FP8" s="212"/>
      <c r="FQ8" s="212"/>
      <c r="FR8" s="212"/>
      <c r="FS8" s="212"/>
      <c r="FT8" s="212"/>
      <c r="FU8" s="212"/>
      <c r="FV8" s="212"/>
      <c r="FW8" s="212"/>
      <c r="FX8" s="212"/>
      <c r="FY8" s="212"/>
      <c r="FZ8" s="212"/>
      <c r="GA8" s="212"/>
      <c r="GB8" s="212"/>
      <c r="GC8" s="212"/>
      <c r="GD8" s="212"/>
      <c r="GE8" s="212"/>
      <c r="GF8" s="212"/>
      <c r="GG8" s="212"/>
      <c r="GH8" s="212"/>
      <c r="GI8" s="212"/>
      <c r="GJ8" s="212"/>
      <c r="GK8" s="212"/>
      <c r="GL8" s="212"/>
      <c r="GM8" s="212"/>
      <c r="GN8" s="212"/>
      <c r="GO8" s="212"/>
      <c r="GP8" s="212"/>
      <c r="GQ8" s="212"/>
      <c r="GR8" s="212"/>
      <c r="GS8" s="212"/>
      <c r="GT8" s="212"/>
      <c r="GU8" s="212"/>
      <c r="GV8" s="212"/>
      <c r="GW8" s="212"/>
      <c r="GX8" s="212"/>
      <c r="GY8" s="212"/>
      <c r="GZ8" s="212"/>
      <c r="HA8" s="212"/>
      <c r="HB8" s="212"/>
      <c r="HC8" s="212"/>
      <c r="HD8" s="212"/>
      <c r="HE8" s="212"/>
      <c r="HF8" s="212"/>
    </row>
    <row r="9" spans="1:214" s="217" customFormat="1" ht="22.5" customHeight="1">
      <c r="A9" s="216"/>
      <c r="B9" s="216" t="s">
        <v>1516</v>
      </c>
      <c r="C9" s="216"/>
      <c r="D9" s="204" t="s">
        <v>3166</v>
      </c>
      <c r="E9" s="216" t="s">
        <v>3167</v>
      </c>
      <c r="F9" s="212"/>
      <c r="G9" s="212">
        <v>1</v>
      </c>
      <c r="H9" s="200"/>
      <c r="I9" s="216"/>
      <c r="J9" s="210"/>
      <c r="K9" s="210"/>
      <c r="L9" s="210"/>
      <c r="M9" s="193"/>
      <c r="N9" s="193"/>
      <c r="O9" s="193"/>
      <c r="P9" s="193"/>
      <c r="Q9" s="193"/>
      <c r="R9" s="210"/>
      <c r="S9" s="210"/>
      <c r="T9" s="210"/>
      <c r="U9" s="210"/>
      <c r="V9" s="210"/>
      <c r="W9" s="210"/>
      <c r="X9" s="210"/>
      <c r="Y9" s="210"/>
      <c r="Z9" s="210"/>
      <c r="AA9" s="210"/>
      <c r="AB9" s="210"/>
      <c r="AC9" s="210"/>
      <c r="AD9" s="210"/>
      <c r="AE9" s="210"/>
      <c r="AF9" s="210"/>
      <c r="AG9" s="210"/>
      <c r="AH9" s="210"/>
      <c r="AI9" s="210"/>
      <c r="AJ9" s="210"/>
      <c r="AK9" s="269"/>
      <c r="AL9" s="269"/>
      <c r="AM9" s="210"/>
      <c r="AN9" s="272"/>
      <c r="AO9" s="210"/>
      <c r="AP9" s="210"/>
      <c r="AQ9" s="210"/>
      <c r="AR9" s="210"/>
      <c r="AS9" s="210"/>
      <c r="AT9" s="210"/>
      <c r="AU9" s="210"/>
      <c r="AV9" s="210"/>
      <c r="AW9" s="210"/>
      <c r="AX9" s="210"/>
      <c r="AY9" s="210"/>
      <c r="AZ9" s="210"/>
      <c r="BA9" s="210"/>
      <c r="BB9" s="210"/>
      <c r="BC9" s="210"/>
      <c r="BD9" s="269"/>
      <c r="BE9" s="269"/>
      <c r="BF9" s="269"/>
      <c r="BG9" s="269"/>
      <c r="BH9" s="269"/>
      <c r="BI9" s="269"/>
      <c r="BJ9" s="269"/>
      <c r="BK9" s="269"/>
      <c r="BL9" s="269"/>
      <c r="BM9" s="269"/>
      <c r="BN9" s="269"/>
      <c r="BO9" s="269"/>
      <c r="BP9" s="269"/>
      <c r="BQ9" s="269"/>
      <c r="BR9" s="269"/>
      <c r="BS9" s="269"/>
      <c r="BT9" s="269"/>
      <c r="BU9" s="269"/>
      <c r="BV9" s="269"/>
      <c r="BW9" s="269"/>
      <c r="BX9" s="269"/>
      <c r="BY9" s="269"/>
      <c r="BZ9" s="269"/>
      <c r="CA9" s="269"/>
      <c r="CB9" s="269"/>
      <c r="CC9" s="269"/>
      <c r="CD9" s="269"/>
      <c r="CE9" s="269"/>
      <c r="CF9" s="269"/>
      <c r="CG9" s="269"/>
      <c r="CH9" s="269"/>
      <c r="CI9" s="269"/>
      <c r="CJ9" s="212"/>
      <c r="CK9" s="212"/>
      <c r="CL9" s="212"/>
      <c r="CM9" s="212"/>
      <c r="CN9" s="212"/>
      <c r="CO9" s="212"/>
      <c r="CP9" s="212"/>
      <c r="CQ9" s="212"/>
      <c r="CR9" s="214"/>
      <c r="CS9" s="214"/>
      <c r="CT9" s="212"/>
      <c r="CU9" s="212"/>
      <c r="CV9" s="212"/>
      <c r="CW9" s="212"/>
      <c r="CX9" s="212"/>
      <c r="CY9" s="212"/>
      <c r="CZ9" s="212"/>
      <c r="DA9" s="212"/>
      <c r="DB9" s="212"/>
      <c r="DC9" s="212"/>
      <c r="DD9" s="212"/>
      <c r="DE9" s="212"/>
      <c r="DF9" s="212"/>
      <c r="DG9" s="212"/>
      <c r="DH9" s="212"/>
      <c r="DI9" s="212"/>
      <c r="DJ9" s="212"/>
      <c r="DK9" s="212"/>
      <c r="DL9" s="212"/>
      <c r="DM9" s="212"/>
      <c r="DN9" s="210"/>
      <c r="DO9" s="210"/>
      <c r="DP9" s="212"/>
      <c r="DQ9" s="210"/>
      <c r="DR9" s="210"/>
      <c r="DS9" s="210"/>
      <c r="DT9" s="210"/>
      <c r="DU9" s="212"/>
      <c r="DV9" s="212"/>
      <c r="DW9" s="214"/>
      <c r="DX9" s="214"/>
      <c r="DY9" s="212"/>
      <c r="DZ9" s="212"/>
      <c r="EA9" s="212"/>
      <c r="EB9" s="212"/>
      <c r="EC9" s="212"/>
      <c r="ED9" s="212"/>
      <c r="EE9" s="212"/>
      <c r="EF9" s="212"/>
      <c r="EG9" s="212"/>
      <c r="EH9" s="212"/>
      <c r="EI9" s="212"/>
      <c r="EJ9" s="212"/>
      <c r="EK9" s="212"/>
      <c r="EL9" s="212"/>
      <c r="EM9" s="212"/>
      <c r="EN9" s="212"/>
      <c r="EO9" s="212"/>
      <c r="EP9" s="212"/>
      <c r="EQ9" s="212"/>
      <c r="ER9" s="212"/>
      <c r="ES9" s="212"/>
      <c r="ET9" s="212"/>
      <c r="EU9" s="212"/>
      <c r="EV9" s="212"/>
      <c r="EW9" s="212"/>
      <c r="EX9" s="212"/>
      <c r="EY9" s="212"/>
      <c r="EZ9" s="212"/>
      <c r="FA9" s="212"/>
      <c r="FB9" s="212"/>
      <c r="FC9" s="212"/>
      <c r="FD9" s="212"/>
      <c r="FE9" s="212"/>
      <c r="FF9" s="212"/>
      <c r="FG9" s="212"/>
      <c r="FH9" s="212"/>
      <c r="FI9" s="212"/>
      <c r="FJ9" s="212"/>
      <c r="FK9" s="212"/>
      <c r="FL9" s="212"/>
      <c r="FM9" s="212"/>
      <c r="FN9" s="212"/>
      <c r="FO9" s="212"/>
      <c r="FP9" s="212"/>
      <c r="FQ9" s="212"/>
      <c r="FR9" s="212"/>
      <c r="FS9" s="212"/>
      <c r="FT9" s="212"/>
      <c r="FU9" s="212"/>
      <c r="FV9" s="212"/>
      <c r="FW9" s="212"/>
      <c r="FX9" s="212"/>
      <c r="FY9" s="212"/>
      <c r="FZ9" s="212"/>
      <c r="GA9" s="212"/>
      <c r="GB9" s="212"/>
      <c r="GC9" s="212"/>
      <c r="GD9" s="212"/>
      <c r="GE9" s="212"/>
      <c r="GF9" s="212"/>
      <c r="GG9" s="212"/>
      <c r="GH9" s="212"/>
      <c r="GI9" s="212"/>
      <c r="GJ9" s="212"/>
      <c r="GK9" s="212"/>
      <c r="GL9" s="212"/>
      <c r="GM9" s="212"/>
      <c r="GN9" s="212"/>
      <c r="GO9" s="212"/>
      <c r="GP9" s="212"/>
      <c r="GQ9" s="212"/>
      <c r="GR9" s="212"/>
      <c r="GS9" s="212"/>
      <c r="GT9" s="212"/>
      <c r="GU9" s="212"/>
      <c r="GV9" s="212"/>
      <c r="GW9" s="212"/>
      <c r="GX9" s="212"/>
      <c r="GY9" s="212"/>
      <c r="GZ9" s="212"/>
      <c r="HA9" s="212"/>
      <c r="HB9" s="212"/>
      <c r="HC9" s="212"/>
      <c r="HD9" s="212"/>
      <c r="HE9" s="212"/>
      <c r="HF9" s="212"/>
    </row>
    <row r="10" spans="1:214" s="217" customFormat="1" ht="22.5" customHeight="1">
      <c r="A10" s="216"/>
      <c r="B10" s="216" t="s">
        <v>2560</v>
      </c>
      <c r="C10" s="216"/>
      <c r="D10" s="204"/>
      <c r="E10" s="216"/>
      <c r="F10" s="212"/>
      <c r="G10" s="212"/>
      <c r="H10" s="200"/>
      <c r="I10" s="216"/>
      <c r="J10" s="210"/>
      <c r="K10" s="210"/>
      <c r="L10" s="210"/>
      <c r="M10" s="193"/>
      <c r="N10" s="193"/>
      <c r="O10" s="193"/>
      <c r="P10" s="193"/>
      <c r="Q10" s="193"/>
      <c r="R10" s="210"/>
      <c r="S10" s="210"/>
      <c r="T10" s="210"/>
      <c r="U10" s="210"/>
      <c r="V10" s="210"/>
      <c r="W10" s="210"/>
      <c r="X10" s="210"/>
      <c r="Y10" s="210"/>
      <c r="Z10" s="210"/>
      <c r="AA10" s="210"/>
      <c r="AB10" s="210"/>
      <c r="AC10" s="210"/>
      <c r="AD10" s="210"/>
      <c r="AE10" s="210"/>
      <c r="AF10" s="210"/>
      <c r="AG10" s="210"/>
      <c r="AH10" s="210"/>
      <c r="AI10" s="210"/>
      <c r="AJ10" s="210"/>
      <c r="AK10" s="269"/>
      <c r="AL10" s="269"/>
      <c r="AM10" s="210"/>
      <c r="AN10" s="272"/>
      <c r="AO10" s="210"/>
      <c r="AP10" s="210"/>
      <c r="AQ10" s="210"/>
      <c r="AR10" s="210"/>
      <c r="AS10" s="210"/>
      <c r="AT10" s="210"/>
      <c r="AU10" s="210"/>
      <c r="AV10" s="210"/>
      <c r="AW10" s="210"/>
      <c r="AX10" s="210"/>
      <c r="AY10" s="210"/>
      <c r="AZ10" s="210"/>
      <c r="BA10" s="210"/>
      <c r="BB10" s="210"/>
      <c r="BC10" s="210"/>
      <c r="BD10" s="269"/>
      <c r="BE10" s="269"/>
      <c r="BF10" s="269"/>
      <c r="BG10" s="269"/>
      <c r="BH10" s="269"/>
      <c r="BI10" s="269"/>
      <c r="BJ10" s="269"/>
      <c r="BK10" s="269"/>
      <c r="BL10" s="269"/>
      <c r="BM10" s="269"/>
      <c r="BN10" s="269"/>
      <c r="BO10" s="269"/>
      <c r="BP10" s="269"/>
      <c r="BQ10" s="269"/>
      <c r="BR10" s="269"/>
      <c r="BS10" s="269"/>
      <c r="BT10" s="269"/>
      <c r="BU10" s="269"/>
      <c r="BV10" s="269"/>
      <c r="BW10" s="269"/>
      <c r="BX10" s="269"/>
      <c r="BY10" s="269"/>
      <c r="BZ10" s="269"/>
      <c r="CA10" s="269"/>
      <c r="CB10" s="269"/>
      <c r="CC10" s="269"/>
      <c r="CD10" s="269"/>
      <c r="CE10" s="269"/>
      <c r="CF10" s="269"/>
      <c r="CG10" s="269"/>
      <c r="CH10" s="269"/>
      <c r="CI10" s="269"/>
      <c r="CJ10" s="212"/>
      <c r="CK10" s="212"/>
      <c r="CL10" s="212"/>
      <c r="CM10" s="212"/>
      <c r="CN10" s="212"/>
      <c r="CO10" s="212"/>
      <c r="CP10" s="212"/>
      <c r="CQ10" s="212"/>
      <c r="CR10" s="214"/>
      <c r="CS10" s="214"/>
      <c r="CT10" s="212"/>
      <c r="CU10" s="212"/>
      <c r="CV10" s="212"/>
      <c r="CW10" s="212"/>
      <c r="CX10" s="212"/>
      <c r="CY10" s="212"/>
      <c r="CZ10" s="212"/>
      <c r="DA10" s="212"/>
      <c r="DB10" s="212"/>
      <c r="DC10" s="212"/>
      <c r="DD10" s="212"/>
      <c r="DE10" s="212"/>
      <c r="DF10" s="212"/>
      <c r="DG10" s="212"/>
      <c r="DH10" s="212"/>
      <c r="DI10" s="212"/>
      <c r="DJ10" s="212"/>
      <c r="DK10" s="212"/>
      <c r="DL10" s="212"/>
      <c r="DM10" s="212"/>
      <c r="DN10" s="210"/>
      <c r="DO10" s="210"/>
      <c r="DP10" s="212"/>
      <c r="DQ10" s="210"/>
      <c r="DR10" s="210"/>
      <c r="DS10" s="210"/>
      <c r="DT10" s="210"/>
      <c r="DU10" s="212"/>
      <c r="DV10" s="212"/>
      <c r="DW10" s="214"/>
      <c r="DX10" s="214"/>
      <c r="DY10" s="212"/>
      <c r="DZ10" s="212"/>
      <c r="EA10" s="212"/>
      <c r="EB10" s="212"/>
      <c r="EC10" s="212"/>
      <c r="ED10" s="212"/>
      <c r="EE10" s="212"/>
      <c r="EF10" s="212"/>
      <c r="EG10" s="212"/>
      <c r="EH10" s="212"/>
      <c r="EI10" s="212"/>
      <c r="EJ10" s="212"/>
      <c r="EK10" s="212"/>
      <c r="EL10" s="212"/>
      <c r="EM10" s="212"/>
      <c r="EN10" s="212"/>
      <c r="EO10" s="212"/>
      <c r="EP10" s="212"/>
      <c r="EQ10" s="212"/>
      <c r="ER10" s="212"/>
      <c r="ES10" s="212"/>
      <c r="ET10" s="212"/>
      <c r="EU10" s="212"/>
      <c r="EV10" s="212"/>
      <c r="EW10" s="212"/>
      <c r="EX10" s="212"/>
      <c r="EY10" s="212"/>
      <c r="EZ10" s="212"/>
      <c r="FA10" s="212"/>
      <c r="FB10" s="212"/>
      <c r="FC10" s="212"/>
      <c r="FD10" s="212"/>
      <c r="FE10" s="212"/>
      <c r="FF10" s="212"/>
      <c r="FG10" s="212"/>
      <c r="FH10" s="212"/>
      <c r="FI10" s="212"/>
      <c r="FJ10" s="212"/>
      <c r="FK10" s="212"/>
      <c r="FL10" s="212"/>
      <c r="FM10" s="212"/>
      <c r="FN10" s="212"/>
      <c r="FO10" s="212"/>
      <c r="FP10" s="212"/>
      <c r="FQ10" s="212"/>
      <c r="FR10" s="212"/>
      <c r="FS10" s="212"/>
      <c r="FT10" s="212"/>
      <c r="FU10" s="212"/>
      <c r="FV10" s="212"/>
      <c r="FW10" s="212"/>
      <c r="FX10" s="212"/>
      <c r="FY10" s="212"/>
      <c r="FZ10" s="212"/>
      <c r="GA10" s="212"/>
      <c r="GB10" s="212"/>
      <c r="GC10" s="212"/>
      <c r="GD10" s="212"/>
      <c r="GE10" s="212"/>
      <c r="GF10" s="212"/>
      <c r="GG10" s="212"/>
      <c r="GH10" s="212"/>
      <c r="GI10" s="212"/>
      <c r="GJ10" s="212"/>
      <c r="GK10" s="212"/>
      <c r="GL10" s="212"/>
      <c r="GM10" s="212"/>
      <c r="GN10" s="212"/>
      <c r="GO10" s="212"/>
      <c r="GP10" s="212"/>
      <c r="GQ10" s="212"/>
      <c r="GR10" s="212"/>
      <c r="GS10" s="212"/>
      <c r="GT10" s="212"/>
      <c r="GU10" s="212"/>
      <c r="GV10" s="212"/>
      <c r="GW10" s="212"/>
      <c r="GX10" s="212"/>
      <c r="GY10" s="212"/>
      <c r="GZ10" s="212"/>
      <c r="HA10" s="212"/>
      <c r="HB10" s="212"/>
      <c r="HC10" s="212"/>
      <c r="HD10" s="212"/>
      <c r="HE10" s="212"/>
      <c r="HF10" s="212"/>
    </row>
    <row r="11" spans="1:214" s="217" customFormat="1" ht="22.5" customHeight="1">
      <c r="A11" s="216"/>
      <c r="B11" s="216" t="s">
        <v>2927</v>
      </c>
      <c r="C11" s="216"/>
      <c r="D11" s="204" t="s">
        <v>2928</v>
      </c>
      <c r="E11" s="216"/>
      <c r="F11" s="212"/>
      <c r="G11" s="212">
        <v>1</v>
      </c>
      <c r="H11" s="200"/>
      <c r="I11" s="216"/>
      <c r="J11" s="210"/>
      <c r="K11" s="210"/>
      <c r="L11" s="210"/>
      <c r="M11" s="193"/>
      <c r="N11" s="193"/>
      <c r="O11" s="193"/>
      <c r="P11" s="193"/>
      <c r="Q11" s="193"/>
      <c r="R11" s="210"/>
      <c r="S11" s="210"/>
      <c r="T11" s="210"/>
      <c r="U11" s="210"/>
      <c r="V11" s="210"/>
      <c r="W11" s="210"/>
      <c r="X11" s="210"/>
      <c r="Y11" s="210"/>
      <c r="Z11" s="210"/>
      <c r="AA11" s="210"/>
      <c r="AB11" s="210"/>
      <c r="AC11" s="210"/>
      <c r="AD11" s="210"/>
      <c r="AE11" s="210"/>
      <c r="AF11" s="210"/>
      <c r="AG11" s="210"/>
      <c r="AH11" s="210"/>
      <c r="AI11" s="210"/>
      <c r="AJ11" s="210"/>
      <c r="AK11" s="269"/>
      <c r="AL11" s="269"/>
      <c r="AM11" s="210"/>
      <c r="AN11" s="272"/>
      <c r="AO11" s="210"/>
      <c r="AP11" s="210"/>
      <c r="AQ11" s="210"/>
      <c r="AR11" s="210"/>
      <c r="AS11" s="210"/>
      <c r="AT11" s="210"/>
      <c r="AU11" s="210"/>
      <c r="AV11" s="210"/>
      <c r="AW11" s="210"/>
      <c r="AX11" s="210"/>
      <c r="AY11" s="210"/>
      <c r="AZ11" s="210"/>
      <c r="BA11" s="210"/>
      <c r="BB11" s="210"/>
      <c r="BC11" s="210"/>
      <c r="BD11" s="269"/>
      <c r="BE11" s="269"/>
      <c r="BF11" s="269"/>
      <c r="BG11" s="269"/>
      <c r="BH11" s="269"/>
      <c r="BI11" s="269"/>
      <c r="BJ11" s="269"/>
      <c r="BK11" s="269"/>
      <c r="BL11" s="269"/>
      <c r="BM11" s="269"/>
      <c r="BN11" s="269"/>
      <c r="BO11" s="269"/>
      <c r="BP11" s="269"/>
      <c r="BQ11" s="269"/>
      <c r="BR11" s="269"/>
      <c r="BS11" s="269"/>
      <c r="BT11" s="269"/>
      <c r="BU11" s="269"/>
      <c r="BV11" s="269"/>
      <c r="BW11" s="269"/>
      <c r="BX11" s="269"/>
      <c r="BY11" s="269"/>
      <c r="BZ11" s="269"/>
      <c r="CA11" s="269"/>
      <c r="CB11" s="269"/>
      <c r="CC11" s="269"/>
      <c r="CD11" s="269"/>
      <c r="CE11" s="269"/>
      <c r="CF11" s="269"/>
      <c r="CG11" s="269"/>
      <c r="CH11" s="269"/>
      <c r="CI11" s="269"/>
      <c r="CJ11" s="212"/>
      <c r="CK11" s="212"/>
      <c r="CL11" s="212"/>
      <c r="CM11" s="212"/>
      <c r="CN11" s="212"/>
      <c r="CO11" s="212"/>
      <c r="CP11" s="212"/>
      <c r="CQ11" s="212"/>
      <c r="CR11" s="214"/>
      <c r="CS11" s="214"/>
      <c r="CT11" s="212"/>
      <c r="CU11" s="212"/>
      <c r="CV11" s="212"/>
      <c r="CW11" s="212"/>
      <c r="CX11" s="212"/>
      <c r="CY11" s="212"/>
      <c r="CZ11" s="212"/>
      <c r="DA11" s="212"/>
      <c r="DB11" s="212"/>
      <c r="DC11" s="212"/>
      <c r="DD11" s="212"/>
      <c r="DE11" s="212"/>
      <c r="DF11" s="212"/>
      <c r="DG11" s="212"/>
      <c r="DH11" s="212"/>
      <c r="DI11" s="212"/>
      <c r="DJ11" s="212"/>
      <c r="DK11" s="212"/>
      <c r="DL11" s="212"/>
      <c r="DM11" s="212"/>
      <c r="DN11" s="210"/>
      <c r="DO11" s="210"/>
      <c r="DP11" s="212"/>
      <c r="DQ11" s="210"/>
      <c r="DR11" s="210"/>
      <c r="DS11" s="210"/>
      <c r="DT11" s="210"/>
      <c r="DU11" s="212"/>
      <c r="DV11" s="212"/>
      <c r="DW11" s="214"/>
      <c r="DX11" s="214"/>
      <c r="DY11" s="212"/>
      <c r="DZ11" s="212"/>
      <c r="EA11" s="212"/>
      <c r="EB11" s="212"/>
      <c r="EC11" s="212"/>
      <c r="ED11" s="212"/>
      <c r="EE11" s="212"/>
      <c r="EF11" s="212"/>
      <c r="EG11" s="212"/>
      <c r="EH11" s="212"/>
      <c r="EI11" s="212"/>
      <c r="EJ11" s="212"/>
      <c r="EK11" s="212"/>
      <c r="EL11" s="212"/>
      <c r="EM11" s="212"/>
      <c r="EN11" s="212"/>
      <c r="EO11" s="212"/>
      <c r="EP11" s="212"/>
      <c r="EQ11" s="212"/>
      <c r="ER11" s="212"/>
      <c r="ES11" s="212"/>
      <c r="ET11" s="212"/>
      <c r="EU11" s="212"/>
      <c r="EV11" s="212"/>
      <c r="EW11" s="212"/>
      <c r="EX11" s="212"/>
      <c r="EY11" s="212"/>
      <c r="EZ11" s="212"/>
      <c r="FA11" s="212"/>
      <c r="FB11" s="212"/>
      <c r="FC11" s="212"/>
      <c r="FD11" s="212"/>
      <c r="FE11" s="212"/>
      <c r="FF11" s="212"/>
      <c r="FG11" s="212"/>
      <c r="FH11" s="212"/>
      <c r="FI11" s="212"/>
      <c r="FJ11" s="212"/>
      <c r="FK11" s="212"/>
      <c r="FL11" s="212"/>
      <c r="FM11" s="212"/>
      <c r="FN11" s="212"/>
      <c r="FO11" s="212"/>
      <c r="FP11" s="212"/>
      <c r="FQ11" s="212"/>
      <c r="FR11" s="212"/>
      <c r="FS11" s="212"/>
      <c r="FT11" s="212"/>
      <c r="FU11" s="212"/>
      <c r="FV11" s="212"/>
      <c r="FW11" s="212"/>
      <c r="FX11" s="212"/>
      <c r="FY11" s="212"/>
      <c r="FZ11" s="212"/>
      <c r="GA11" s="212"/>
      <c r="GB11" s="212"/>
      <c r="GC11" s="212"/>
      <c r="GD11" s="212"/>
      <c r="GE11" s="212"/>
      <c r="GF11" s="212"/>
      <c r="GG11" s="212"/>
      <c r="GH11" s="212"/>
      <c r="GI11" s="212"/>
      <c r="GJ11" s="212"/>
      <c r="GK11" s="212"/>
      <c r="GL11" s="212"/>
      <c r="GM11" s="212"/>
      <c r="GN11" s="212"/>
      <c r="GO11" s="212"/>
      <c r="GP11" s="212"/>
      <c r="GQ11" s="212"/>
      <c r="GR11" s="212"/>
      <c r="GS11" s="212"/>
      <c r="GT11" s="212"/>
      <c r="GU11" s="212"/>
      <c r="GV11" s="212"/>
      <c r="GW11" s="212"/>
      <c r="GX11" s="212"/>
      <c r="GY11" s="212"/>
      <c r="GZ11" s="212"/>
      <c r="HA11" s="212"/>
      <c r="HB11" s="212"/>
      <c r="HC11" s="212"/>
      <c r="HD11" s="212"/>
      <c r="HE11" s="212"/>
      <c r="HF11" s="212"/>
    </row>
    <row r="12" spans="1:214" s="217" customFormat="1" ht="22.5" customHeight="1">
      <c r="A12" s="216"/>
      <c r="B12" s="216" t="s">
        <v>1388</v>
      </c>
      <c r="C12" s="216"/>
      <c r="D12" s="204" t="s">
        <v>1389</v>
      </c>
      <c r="E12" s="216"/>
      <c r="F12" s="212"/>
      <c r="G12" s="212">
        <v>1</v>
      </c>
      <c r="H12" s="200"/>
      <c r="I12" s="216"/>
      <c r="J12" s="210"/>
      <c r="K12" s="210"/>
      <c r="L12" s="210"/>
      <c r="M12" s="193"/>
      <c r="N12" s="193"/>
      <c r="O12" s="193"/>
      <c r="P12" s="193"/>
      <c r="Q12" s="193"/>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72"/>
      <c r="AO12" s="210"/>
      <c r="AP12" s="210"/>
      <c r="AQ12" s="210"/>
      <c r="AR12" s="210"/>
      <c r="AS12" s="210"/>
      <c r="AT12" s="210"/>
      <c r="AU12" s="210"/>
      <c r="AV12" s="210"/>
      <c r="AW12" s="210"/>
      <c r="AX12" s="210"/>
      <c r="AY12" s="210"/>
      <c r="AZ12" s="210"/>
      <c r="BA12" s="210"/>
      <c r="BB12" s="210"/>
      <c r="BC12" s="210"/>
      <c r="BD12" s="269"/>
      <c r="BE12" s="269"/>
      <c r="BF12" s="269"/>
      <c r="BG12" s="269"/>
      <c r="BH12" s="269"/>
      <c r="BI12" s="269"/>
      <c r="BJ12" s="269"/>
      <c r="BK12" s="269"/>
      <c r="BL12" s="269"/>
      <c r="BM12" s="269"/>
      <c r="BN12" s="269"/>
      <c r="BO12" s="269"/>
      <c r="BP12" s="269"/>
      <c r="BQ12" s="269"/>
      <c r="BR12" s="269"/>
      <c r="BS12" s="269"/>
      <c r="BT12" s="269"/>
      <c r="BU12" s="269"/>
      <c r="BV12" s="269"/>
      <c r="BW12" s="269"/>
      <c r="BX12" s="269"/>
      <c r="BY12" s="269"/>
      <c r="BZ12" s="269"/>
      <c r="CA12" s="269"/>
      <c r="CB12" s="269"/>
      <c r="CC12" s="269"/>
      <c r="CD12" s="269"/>
      <c r="CE12" s="269"/>
      <c r="CF12" s="269"/>
      <c r="CG12" s="269"/>
      <c r="CH12" s="269"/>
      <c r="CI12" s="269"/>
      <c r="CJ12" s="212"/>
      <c r="CK12" s="212"/>
      <c r="CL12" s="212"/>
      <c r="CM12" s="212"/>
      <c r="CN12" s="212"/>
      <c r="CO12" s="212"/>
      <c r="CP12" s="212"/>
      <c r="CQ12" s="212"/>
      <c r="CR12" s="214"/>
      <c r="CS12" s="214"/>
      <c r="CT12" s="212"/>
      <c r="CU12" s="212"/>
      <c r="CV12" s="212"/>
      <c r="CW12" s="212"/>
      <c r="CX12" s="212"/>
      <c r="CY12" s="212"/>
      <c r="CZ12" s="212"/>
      <c r="DA12" s="212"/>
      <c r="DB12" s="212"/>
      <c r="DC12" s="212"/>
      <c r="DD12" s="212"/>
      <c r="DE12" s="212"/>
      <c r="DF12" s="212"/>
      <c r="DG12" s="212"/>
      <c r="DH12" s="212"/>
      <c r="DI12" s="212"/>
      <c r="DJ12" s="212"/>
      <c r="DK12" s="212"/>
      <c r="DL12" s="212"/>
      <c r="DM12" s="212"/>
      <c r="DN12" s="210"/>
      <c r="DO12" s="210"/>
      <c r="DP12" s="212"/>
      <c r="DQ12" s="210"/>
      <c r="DR12" s="210"/>
      <c r="DS12" s="210"/>
      <c r="DT12" s="210"/>
      <c r="DU12" s="212"/>
      <c r="DV12" s="212"/>
      <c r="DW12" s="214"/>
      <c r="DX12" s="214"/>
      <c r="DY12" s="212"/>
      <c r="DZ12" s="212"/>
      <c r="EA12" s="212"/>
      <c r="EB12" s="212"/>
      <c r="EC12" s="212"/>
      <c r="ED12" s="212"/>
      <c r="EE12" s="212"/>
      <c r="EF12" s="212"/>
      <c r="EG12" s="212"/>
      <c r="EH12" s="212"/>
      <c r="EI12" s="212"/>
      <c r="EJ12" s="212"/>
      <c r="EK12" s="212"/>
      <c r="EL12" s="212"/>
      <c r="EM12" s="212"/>
      <c r="EN12" s="212"/>
      <c r="EO12" s="212"/>
      <c r="EP12" s="212"/>
      <c r="EQ12" s="212"/>
      <c r="ER12" s="212"/>
      <c r="ES12" s="212"/>
      <c r="ET12" s="212"/>
      <c r="EU12" s="212"/>
      <c r="EV12" s="212"/>
      <c r="EW12" s="212"/>
      <c r="EX12" s="212"/>
      <c r="EY12" s="212"/>
      <c r="EZ12" s="212"/>
      <c r="FA12" s="212"/>
      <c r="FB12" s="212"/>
      <c r="FC12" s="212"/>
      <c r="FD12" s="212"/>
      <c r="FE12" s="212"/>
      <c r="FF12" s="212"/>
      <c r="FG12" s="212"/>
      <c r="FH12" s="212"/>
      <c r="FI12" s="212"/>
      <c r="FJ12" s="212"/>
      <c r="FK12" s="212"/>
      <c r="FL12" s="212"/>
      <c r="FM12" s="212"/>
      <c r="FN12" s="212"/>
      <c r="FO12" s="212"/>
      <c r="FP12" s="212"/>
      <c r="FQ12" s="212"/>
      <c r="FR12" s="212"/>
      <c r="FS12" s="212"/>
      <c r="FT12" s="212"/>
      <c r="FU12" s="212"/>
      <c r="FV12" s="212"/>
      <c r="FW12" s="212"/>
      <c r="FX12" s="212"/>
      <c r="FY12" s="212"/>
      <c r="FZ12" s="212"/>
      <c r="GA12" s="212"/>
      <c r="GB12" s="212"/>
      <c r="GC12" s="212"/>
      <c r="GD12" s="212"/>
      <c r="GE12" s="212"/>
      <c r="GF12" s="212"/>
      <c r="GG12" s="212"/>
      <c r="GH12" s="212"/>
      <c r="GI12" s="212"/>
      <c r="GJ12" s="212"/>
      <c r="GK12" s="212"/>
      <c r="GL12" s="212"/>
      <c r="GM12" s="212"/>
      <c r="GN12" s="212"/>
      <c r="GO12" s="212"/>
      <c r="GP12" s="212"/>
      <c r="GQ12" s="212"/>
      <c r="GR12" s="212"/>
      <c r="GS12" s="212"/>
      <c r="GT12" s="212"/>
      <c r="GU12" s="212"/>
      <c r="GV12" s="212"/>
      <c r="GW12" s="212"/>
      <c r="GX12" s="212"/>
      <c r="GY12" s="212"/>
      <c r="GZ12" s="212"/>
      <c r="HA12" s="212"/>
      <c r="HB12" s="212"/>
      <c r="HC12" s="212"/>
      <c r="HD12" s="212"/>
      <c r="HE12" s="212"/>
      <c r="HF12" s="212"/>
    </row>
    <row r="13" spans="1:214" s="217" customFormat="1" ht="22.5" customHeight="1">
      <c r="A13" s="216"/>
      <c r="B13" s="216" t="s">
        <v>2701</v>
      </c>
      <c r="C13" s="216"/>
      <c r="D13" s="204" t="s">
        <v>3168</v>
      </c>
      <c r="E13" s="216" t="s">
        <v>3169</v>
      </c>
      <c r="F13" s="212"/>
      <c r="G13" s="212">
        <v>1</v>
      </c>
      <c r="H13" s="200"/>
      <c r="I13" s="216"/>
      <c r="J13" s="210"/>
      <c r="K13" s="210"/>
      <c r="L13" s="210"/>
      <c r="M13" s="193"/>
      <c r="N13" s="193"/>
      <c r="O13" s="193"/>
      <c r="P13" s="193"/>
      <c r="Q13" s="193"/>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72"/>
      <c r="AO13" s="210"/>
      <c r="AP13" s="210"/>
      <c r="AQ13" s="210"/>
      <c r="AR13" s="210"/>
      <c r="AS13" s="210"/>
      <c r="AT13" s="210"/>
      <c r="AU13" s="210"/>
      <c r="AV13" s="210"/>
      <c r="AW13" s="210"/>
      <c r="AX13" s="210"/>
      <c r="AY13" s="210"/>
      <c r="AZ13" s="210"/>
      <c r="BA13" s="210"/>
      <c r="BB13" s="210"/>
      <c r="BC13" s="210"/>
      <c r="BD13" s="269"/>
      <c r="BE13" s="269"/>
      <c r="BF13" s="269"/>
      <c r="BG13" s="269"/>
      <c r="BH13" s="269"/>
      <c r="BI13" s="269"/>
      <c r="BJ13" s="269"/>
      <c r="BK13" s="269"/>
      <c r="BL13" s="269"/>
      <c r="BM13" s="269"/>
      <c r="BN13" s="269"/>
      <c r="BO13" s="269"/>
      <c r="BP13" s="269"/>
      <c r="BQ13" s="269"/>
      <c r="BR13" s="269"/>
      <c r="BS13" s="269"/>
      <c r="BT13" s="269"/>
      <c r="BU13" s="269"/>
      <c r="BV13" s="269"/>
      <c r="BW13" s="269"/>
      <c r="BX13" s="269"/>
      <c r="BY13" s="269"/>
      <c r="BZ13" s="269"/>
      <c r="CA13" s="269"/>
      <c r="CB13" s="269"/>
      <c r="CC13" s="269"/>
      <c r="CD13" s="269"/>
      <c r="CE13" s="269"/>
      <c r="CF13" s="269"/>
      <c r="CG13" s="269"/>
      <c r="CH13" s="269"/>
      <c r="CI13" s="269"/>
      <c r="CJ13" s="212"/>
      <c r="CK13" s="212"/>
      <c r="CL13" s="212"/>
      <c r="CM13" s="212"/>
      <c r="CN13" s="212"/>
      <c r="CO13" s="212"/>
      <c r="CP13" s="212"/>
      <c r="CQ13" s="212"/>
      <c r="CR13" s="214"/>
      <c r="CS13" s="214"/>
      <c r="CT13" s="212"/>
      <c r="CU13" s="212"/>
      <c r="CV13" s="212"/>
      <c r="CW13" s="212"/>
      <c r="CX13" s="212"/>
      <c r="CY13" s="212"/>
      <c r="CZ13" s="212"/>
      <c r="DA13" s="212"/>
      <c r="DB13" s="212"/>
      <c r="DC13" s="212"/>
      <c r="DD13" s="212"/>
      <c r="DE13" s="212"/>
      <c r="DF13" s="212"/>
      <c r="DG13" s="212"/>
      <c r="DH13" s="212"/>
      <c r="DI13" s="212"/>
      <c r="DJ13" s="212"/>
      <c r="DK13" s="212"/>
      <c r="DL13" s="212"/>
      <c r="DM13" s="212"/>
      <c r="DN13" s="210"/>
      <c r="DO13" s="210"/>
      <c r="DP13" s="212"/>
      <c r="DQ13" s="210"/>
      <c r="DR13" s="210"/>
      <c r="DS13" s="210"/>
      <c r="DT13" s="210"/>
      <c r="DU13" s="212"/>
      <c r="DV13" s="212"/>
      <c r="DW13" s="214"/>
      <c r="DX13" s="214"/>
      <c r="DY13" s="212"/>
      <c r="DZ13" s="212"/>
      <c r="EA13" s="212"/>
      <c r="EB13" s="212"/>
      <c r="EC13" s="212"/>
      <c r="ED13" s="212"/>
      <c r="EE13" s="212"/>
      <c r="EF13" s="212"/>
      <c r="EG13" s="212"/>
      <c r="EH13" s="212"/>
      <c r="EI13" s="212"/>
      <c r="EJ13" s="212"/>
      <c r="EK13" s="212"/>
      <c r="EL13" s="212"/>
      <c r="EM13" s="212"/>
      <c r="EN13" s="212"/>
      <c r="EO13" s="212"/>
      <c r="EP13" s="212"/>
      <c r="EQ13" s="212"/>
      <c r="ER13" s="212"/>
      <c r="ES13" s="212"/>
      <c r="ET13" s="212"/>
      <c r="EU13" s="212"/>
      <c r="EV13" s="212"/>
      <c r="EW13" s="212"/>
      <c r="EX13" s="212"/>
      <c r="EY13" s="212"/>
      <c r="EZ13" s="212"/>
      <c r="FA13" s="212"/>
      <c r="FB13" s="212"/>
      <c r="FC13" s="212"/>
      <c r="FD13" s="212"/>
      <c r="FE13" s="212"/>
      <c r="FF13" s="212"/>
      <c r="FG13" s="212"/>
      <c r="FH13" s="212"/>
      <c r="FI13" s="212"/>
      <c r="FJ13" s="212"/>
      <c r="FK13" s="212"/>
      <c r="FL13" s="212"/>
      <c r="FM13" s="212"/>
      <c r="FN13" s="212"/>
      <c r="FO13" s="212"/>
      <c r="FP13" s="212"/>
      <c r="FQ13" s="212"/>
      <c r="FR13" s="212"/>
      <c r="FS13" s="212"/>
      <c r="FT13" s="212"/>
      <c r="FU13" s="212"/>
      <c r="FV13" s="212"/>
      <c r="FW13" s="212"/>
      <c r="FX13" s="212"/>
      <c r="FY13" s="212"/>
      <c r="FZ13" s="212"/>
      <c r="GA13" s="212"/>
      <c r="GB13" s="212"/>
      <c r="GC13" s="212"/>
      <c r="GD13" s="212"/>
      <c r="GE13" s="212"/>
      <c r="GF13" s="212"/>
      <c r="GG13" s="212"/>
      <c r="GH13" s="212"/>
      <c r="GI13" s="212"/>
      <c r="GJ13" s="212"/>
      <c r="GK13" s="212"/>
      <c r="GL13" s="212"/>
      <c r="GM13" s="212"/>
      <c r="GN13" s="212"/>
      <c r="GO13" s="212"/>
      <c r="GP13" s="212"/>
      <c r="GQ13" s="212"/>
      <c r="GR13" s="212"/>
      <c r="GS13" s="212"/>
      <c r="GT13" s="212"/>
      <c r="GU13" s="212"/>
      <c r="GV13" s="212"/>
      <c r="GW13" s="212"/>
      <c r="GX13" s="212"/>
      <c r="GY13" s="212"/>
      <c r="GZ13" s="212"/>
      <c r="HA13" s="212"/>
      <c r="HB13" s="212"/>
      <c r="HC13" s="212"/>
      <c r="HD13" s="212"/>
      <c r="HE13" s="212"/>
      <c r="HF13" s="212"/>
    </row>
    <row r="14" spans="1:214" s="217" customFormat="1" ht="22.5" customHeight="1">
      <c r="A14" s="216"/>
      <c r="B14" s="216" t="s">
        <v>2702</v>
      </c>
      <c r="C14" s="216"/>
      <c r="D14" s="204" t="s">
        <v>2703</v>
      </c>
      <c r="E14" s="216" t="s">
        <v>2704</v>
      </c>
      <c r="F14" s="212"/>
      <c r="G14" s="212">
        <v>1</v>
      </c>
      <c r="H14" s="200"/>
      <c r="I14" s="216"/>
      <c r="J14" s="210"/>
      <c r="K14" s="210"/>
      <c r="L14" s="210"/>
      <c r="M14" s="193"/>
      <c r="N14" s="193"/>
      <c r="O14" s="193"/>
      <c r="P14" s="193"/>
      <c r="Q14" s="193"/>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72"/>
      <c r="AO14" s="210"/>
      <c r="AP14" s="210"/>
      <c r="AQ14" s="210"/>
      <c r="AR14" s="210"/>
      <c r="AS14" s="210"/>
      <c r="AT14" s="210"/>
      <c r="AU14" s="210"/>
      <c r="AV14" s="210"/>
      <c r="AW14" s="210"/>
      <c r="AX14" s="210"/>
      <c r="AY14" s="210"/>
      <c r="AZ14" s="210"/>
      <c r="BA14" s="210"/>
      <c r="BB14" s="210"/>
      <c r="BC14" s="210"/>
      <c r="BD14" s="269"/>
      <c r="BE14" s="269"/>
      <c r="BF14" s="269"/>
      <c r="BG14" s="269"/>
      <c r="BH14" s="269"/>
      <c r="BI14" s="269"/>
      <c r="BJ14" s="269"/>
      <c r="BK14" s="269"/>
      <c r="BL14" s="269"/>
      <c r="BM14" s="269"/>
      <c r="BN14" s="269"/>
      <c r="BO14" s="269"/>
      <c r="BP14" s="269"/>
      <c r="BQ14" s="269"/>
      <c r="BR14" s="269"/>
      <c r="BS14" s="269"/>
      <c r="BT14" s="269"/>
      <c r="BU14" s="269"/>
      <c r="BV14" s="269"/>
      <c r="BW14" s="269"/>
      <c r="BX14" s="269"/>
      <c r="BY14" s="269"/>
      <c r="BZ14" s="269"/>
      <c r="CA14" s="269"/>
      <c r="CB14" s="269"/>
      <c r="CC14" s="269"/>
      <c r="CD14" s="269"/>
      <c r="CE14" s="269"/>
      <c r="CF14" s="269"/>
      <c r="CG14" s="269"/>
      <c r="CH14" s="269"/>
      <c r="CI14" s="269"/>
      <c r="CJ14" s="212"/>
      <c r="CK14" s="212"/>
      <c r="CL14" s="212"/>
      <c r="CM14" s="212"/>
      <c r="CN14" s="212"/>
      <c r="CO14" s="212"/>
      <c r="CP14" s="212"/>
      <c r="CQ14" s="212"/>
      <c r="CR14" s="214"/>
      <c r="CS14" s="214"/>
      <c r="CT14" s="212"/>
      <c r="CU14" s="212"/>
      <c r="CV14" s="212"/>
      <c r="CW14" s="212"/>
      <c r="CX14" s="212"/>
      <c r="CY14" s="212"/>
      <c r="CZ14" s="212"/>
      <c r="DA14" s="212"/>
      <c r="DB14" s="212"/>
      <c r="DC14" s="212"/>
      <c r="DD14" s="212"/>
      <c r="DE14" s="212"/>
      <c r="DF14" s="212"/>
      <c r="DG14" s="212"/>
      <c r="DH14" s="212"/>
      <c r="DI14" s="212"/>
      <c r="DJ14" s="212"/>
      <c r="DK14" s="212"/>
      <c r="DL14" s="212"/>
      <c r="DM14" s="212"/>
      <c r="DN14" s="210"/>
      <c r="DO14" s="210"/>
      <c r="DP14" s="212"/>
      <c r="DQ14" s="210"/>
      <c r="DR14" s="210"/>
      <c r="DS14" s="210"/>
      <c r="DT14" s="210"/>
      <c r="DU14" s="212"/>
      <c r="DV14" s="212"/>
      <c r="DW14" s="214"/>
      <c r="DX14" s="214"/>
      <c r="DY14" s="212"/>
      <c r="DZ14" s="212"/>
      <c r="EA14" s="212"/>
      <c r="EB14" s="212"/>
      <c r="EC14" s="212"/>
      <c r="ED14" s="212"/>
      <c r="EE14" s="212"/>
      <c r="EF14" s="212"/>
      <c r="EG14" s="212"/>
      <c r="EH14" s="212"/>
      <c r="EI14" s="212"/>
      <c r="EJ14" s="212"/>
      <c r="EK14" s="212"/>
      <c r="EL14" s="212"/>
      <c r="EM14" s="212"/>
      <c r="EN14" s="212"/>
      <c r="EO14" s="212"/>
      <c r="EP14" s="212"/>
      <c r="EQ14" s="212"/>
      <c r="ER14" s="212"/>
      <c r="ES14" s="212"/>
      <c r="ET14" s="212"/>
      <c r="EU14" s="212"/>
      <c r="EV14" s="212"/>
      <c r="EW14" s="212"/>
      <c r="EX14" s="212"/>
      <c r="EY14" s="212"/>
      <c r="EZ14" s="212"/>
      <c r="FA14" s="212"/>
      <c r="FB14" s="212"/>
      <c r="FC14" s="212"/>
      <c r="FD14" s="212"/>
      <c r="FE14" s="212"/>
      <c r="FF14" s="212"/>
      <c r="FG14" s="212"/>
      <c r="FH14" s="212"/>
      <c r="FI14" s="212"/>
      <c r="FJ14" s="212"/>
      <c r="FK14" s="212"/>
      <c r="FL14" s="212"/>
      <c r="FM14" s="212"/>
      <c r="FN14" s="212"/>
      <c r="FO14" s="212"/>
      <c r="FP14" s="212"/>
      <c r="FQ14" s="212"/>
      <c r="FR14" s="212"/>
      <c r="FS14" s="212"/>
      <c r="FT14" s="212"/>
      <c r="FU14" s="212"/>
      <c r="FV14" s="212"/>
      <c r="FW14" s="212"/>
      <c r="FX14" s="212"/>
      <c r="FY14" s="212"/>
      <c r="FZ14" s="212"/>
      <c r="GA14" s="212"/>
      <c r="GB14" s="212"/>
      <c r="GC14" s="212"/>
      <c r="GD14" s="212"/>
      <c r="GE14" s="212"/>
      <c r="GF14" s="212"/>
      <c r="GG14" s="212"/>
      <c r="GH14" s="212"/>
      <c r="GI14" s="212"/>
      <c r="GJ14" s="212"/>
      <c r="GK14" s="212"/>
      <c r="GL14" s="212"/>
      <c r="GM14" s="212"/>
      <c r="GN14" s="212"/>
      <c r="GO14" s="212"/>
      <c r="GP14" s="212"/>
      <c r="GQ14" s="212"/>
      <c r="GR14" s="212"/>
      <c r="GS14" s="212"/>
      <c r="GT14" s="212"/>
      <c r="GU14" s="212"/>
      <c r="GV14" s="212"/>
      <c r="GW14" s="212"/>
      <c r="GX14" s="212"/>
      <c r="GY14" s="212"/>
      <c r="GZ14" s="212"/>
      <c r="HA14" s="212"/>
      <c r="HB14" s="212"/>
      <c r="HC14" s="212"/>
      <c r="HD14" s="212"/>
      <c r="HE14" s="212"/>
      <c r="HF14" s="212"/>
    </row>
    <row r="15" spans="1:214" s="217" customFormat="1" ht="22.5" customHeight="1">
      <c r="A15" s="216"/>
      <c r="B15" s="216" t="s">
        <v>1390</v>
      </c>
      <c r="C15" s="216"/>
      <c r="D15" s="204" t="s">
        <v>2705</v>
      </c>
      <c r="E15" s="216" t="s">
        <v>2706</v>
      </c>
      <c r="F15" s="212"/>
      <c r="G15" s="212">
        <v>1</v>
      </c>
      <c r="H15" s="200"/>
      <c r="I15" s="216"/>
      <c r="J15" s="210"/>
      <c r="K15" s="210"/>
      <c r="L15" s="210"/>
      <c r="M15" s="193"/>
      <c r="N15" s="193"/>
      <c r="O15" s="193"/>
      <c r="P15" s="193"/>
      <c r="Q15" s="193"/>
      <c r="R15" s="210"/>
      <c r="S15" s="210"/>
      <c r="T15" s="210"/>
      <c r="U15" s="210"/>
      <c r="V15" s="210"/>
      <c r="W15" s="210"/>
      <c r="X15" s="210"/>
      <c r="Y15" s="210"/>
      <c r="Z15" s="210"/>
      <c r="AA15" s="210"/>
      <c r="AB15" s="210"/>
      <c r="AC15" s="210"/>
      <c r="AD15" s="210"/>
      <c r="AE15" s="210"/>
      <c r="AF15" s="210"/>
      <c r="AG15" s="210"/>
      <c r="AH15" s="210"/>
      <c r="AI15" s="210"/>
      <c r="AJ15" s="210"/>
      <c r="AK15" s="210"/>
      <c r="AL15" s="210"/>
      <c r="AM15" s="210"/>
      <c r="AN15" s="272"/>
      <c r="AO15" s="210"/>
      <c r="AP15" s="210"/>
      <c r="AQ15" s="210"/>
      <c r="AR15" s="210"/>
      <c r="AS15" s="210"/>
      <c r="AT15" s="210"/>
      <c r="AU15" s="210"/>
      <c r="AV15" s="210"/>
      <c r="AW15" s="210"/>
      <c r="AX15" s="210"/>
      <c r="AY15" s="210"/>
      <c r="AZ15" s="210"/>
      <c r="BA15" s="210"/>
      <c r="BB15" s="210"/>
      <c r="BC15" s="210"/>
      <c r="BD15" s="269"/>
      <c r="BE15" s="269"/>
      <c r="BF15" s="269"/>
      <c r="BG15" s="269"/>
      <c r="BH15" s="269"/>
      <c r="BI15" s="269"/>
      <c r="BJ15" s="269"/>
      <c r="BK15" s="269"/>
      <c r="BL15" s="269"/>
      <c r="BM15" s="269"/>
      <c r="BN15" s="269"/>
      <c r="BO15" s="269"/>
      <c r="BP15" s="269"/>
      <c r="BQ15" s="269"/>
      <c r="BR15" s="269"/>
      <c r="BS15" s="269"/>
      <c r="BT15" s="269"/>
      <c r="BU15" s="269"/>
      <c r="BV15" s="269"/>
      <c r="BW15" s="269"/>
      <c r="BX15" s="269"/>
      <c r="BY15" s="269"/>
      <c r="BZ15" s="269"/>
      <c r="CA15" s="269"/>
      <c r="CB15" s="269"/>
      <c r="CC15" s="269"/>
      <c r="CD15" s="269"/>
      <c r="CE15" s="269"/>
      <c r="CF15" s="269"/>
      <c r="CG15" s="269"/>
      <c r="CH15" s="269"/>
      <c r="CI15" s="269"/>
      <c r="CJ15" s="212"/>
      <c r="CK15" s="212"/>
      <c r="CL15" s="212"/>
      <c r="CM15" s="212"/>
      <c r="CN15" s="212"/>
      <c r="CO15" s="212"/>
      <c r="CP15" s="212"/>
      <c r="CQ15" s="212"/>
      <c r="CR15" s="214"/>
      <c r="CS15" s="214"/>
      <c r="CT15" s="212"/>
      <c r="CU15" s="212"/>
      <c r="CV15" s="212"/>
      <c r="CW15" s="212"/>
      <c r="CX15" s="212"/>
      <c r="CY15" s="212"/>
      <c r="CZ15" s="212"/>
      <c r="DA15" s="212"/>
      <c r="DB15" s="212"/>
      <c r="DC15" s="212"/>
      <c r="DD15" s="212"/>
      <c r="DE15" s="212"/>
      <c r="DF15" s="212"/>
      <c r="DG15" s="212"/>
      <c r="DH15" s="212"/>
      <c r="DI15" s="212"/>
      <c r="DJ15" s="212"/>
      <c r="DK15" s="212"/>
      <c r="DL15" s="212"/>
      <c r="DM15" s="212"/>
      <c r="DN15" s="210"/>
      <c r="DO15" s="210"/>
      <c r="DP15" s="212"/>
      <c r="DQ15" s="210"/>
      <c r="DR15" s="210"/>
      <c r="DS15" s="210"/>
      <c r="DT15" s="210"/>
      <c r="DU15" s="212"/>
      <c r="DV15" s="212"/>
      <c r="DW15" s="214"/>
      <c r="DX15" s="214"/>
      <c r="DY15" s="212"/>
      <c r="DZ15" s="212"/>
      <c r="EA15" s="212"/>
      <c r="EB15" s="212"/>
      <c r="EC15" s="212"/>
      <c r="ED15" s="212"/>
      <c r="EE15" s="212"/>
      <c r="EF15" s="212"/>
      <c r="EG15" s="212"/>
      <c r="EH15" s="212"/>
      <c r="EI15" s="212"/>
      <c r="EJ15" s="212"/>
      <c r="EK15" s="212"/>
      <c r="EL15" s="212"/>
      <c r="EM15" s="212"/>
      <c r="EN15" s="212"/>
      <c r="EO15" s="212"/>
      <c r="EP15" s="212"/>
      <c r="EQ15" s="212"/>
      <c r="ER15" s="212"/>
      <c r="ES15" s="212"/>
      <c r="ET15" s="212"/>
      <c r="EU15" s="212"/>
      <c r="EV15" s="212"/>
      <c r="EW15" s="212"/>
      <c r="EX15" s="212"/>
      <c r="EY15" s="212"/>
      <c r="EZ15" s="212"/>
      <c r="FA15" s="212"/>
      <c r="FB15" s="212"/>
      <c r="FC15" s="212"/>
      <c r="FD15" s="212"/>
      <c r="FE15" s="212"/>
      <c r="FF15" s="212"/>
      <c r="FG15" s="212"/>
      <c r="FH15" s="212"/>
      <c r="FI15" s="212"/>
      <c r="FJ15" s="212"/>
      <c r="FK15" s="212"/>
      <c r="FL15" s="212"/>
      <c r="FM15" s="212"/>
      <c r="FN15" s="212"/>
      <c r="FO15" s="212"/>
      <c r="FP15" s="212"/>
      <c r="FQ15" s="212"/>
      <c r="FR15" s="212"/>
      <c r="FS15" s="212"/>
      <c r="FT15" s="212"/>
      <c r="FU15" s="212"/>
      <c r="FV15" s="212"/>
      <c r="FW15" s="212"/>
      <c r="FX15" s="212"/>
      <c r="FY15" s="212"/>
      <c r="FZ15" s="212"/>
      <c r="GA15" s="212"/>
      <c r="GB15" s="212"/>
      <c r="GC15" s="212"/>
      <c r="GD15" s="212"/>
      <c r="GE15" s="212"/>
      <c r="GF15" s="212"/>
      <c r="GG15" s="212"/>
      <c r="GH15" s="212"/>
      <c r="GI15" s="212"/>
      <c r="GJ15" s="212"/>
      <c r="GK15" s="212"/>
      <c r="GL15" s="212"/>
      <c r="GM15" s="212"/>
      <c r="GN15" s="212"/>
      <c r="GO15" s="212"/>
      <c r="GP15" s="212"/>
      <c r="GQ15" s="212"/>
      <c r="GR15" s="212"/>
      <c r="GS15" s="212"/>
      <c r="GT15" s="212"/>
      <c r="GU15" s="212"/>
      <c r="GV15" s="212"/>
      <c r="GW15" s="212"/>
      <c r="GX15" s="212"/>
      <c r="GY15" s="212"/>
      <c r="GZ15" s="212"/>
      <c r="HA15" s="212"/>
      <c r="HB15" s="212"/>
      <c r="HC15" s="212"/>
      <c r="HD15" s="212"/>
      <c r="HE15" s="212"/>
      <c r="HF15" s="212"/>
    </row>
    <row r="16" spans="1:214" s="217" customFormat="1" ht="22.5" customHeight="1">
      <c r="A16" s="216"/>
      <c r="B16" s="216" t="s">
        <v>2707</v>
      </c>
      <c r="C16" s="216"/>
      <c r="D16" s="204" t="s">
        <v>3170</v>
      </c>
      <c r="E16" s="216" t="s">
        <v>3171</v>
      </c>
      <c r="F16" s="212"/>
      <c r="G16" s="212">
        <v>1</v>
      </c>
      <c r="H16" s="200"/>
      <c r="I16" s="216"/>
      <c r="J16" s="210"/>
      <c r="K16" s="210"/>
      <c r="L16" s="210"/>
      <c r="M16" s="193"/>
      <c r="N16" s="193"/>
      <c r="O16" s="193"/>
      <c r="P16" s="193"/>
      <c r="Q16" s="193"/>
      <c r="R16" s="210"/>
      <c r="S16" s="210"/>
      <c r="T16" s="210"/>
      <c r="U16" s="210"/>
      <c r="V16" s="210"/>
      <c r="W16" s="210"/>
      <c r="X16" s="210"/>
      <c r="Y16" s="210"/>
      <c r="Z16" s="210"/>
      <c r="AA16" s="210"/>
      <c r="AB16" s="210"/>
      <c r="AC16" s="210"/>
      <c r="AD16" s="210"/>
      <c r="AE16" s="210"/>
      <c r="AF16" s="210"/>
      <c r="AG16" s="210"/>
      <c r="AH16" s="210"/>
      <c r="AI16" s="210"/>
      <c r="AJ16" s="210"/>
      <c r="AK16" s="210"/>
      <c r="AL16" s="210"/>
      <c r="AM16" s="210"/>
      <c r="AN16" s="272"/>
      <c r="AO16" s="210"/>
      <c r="AP16" s="210"/>
      <c r="AQ16" s="210"/>
      <c r="AR16" s="210"/>
      <c r="AS16" s="210"/>
      <c r="AT16" s="210"/>
      <c r="AU16" s="210"/>
      <c r="AV16" s="210"/>
      <c r="AW16" s="210"/>
      <c r="AX16" s="210"/>
      <c r="AY16" s="210"/>
      <c r="AZ16" s="210"/>
      <c r="BA16" s="210"/>
      <c r="BB16" s="210"/>
      <c r="BC16" s="210"/>
      <c r="BD16" s="269"/>
      <c r="BE16" s="269"/>
      <c r="BF16" s="269"/>
      <c r="BG16" s="269"/>
      <c r="BH16" s="269"/>
      <c r="BI16" s="269"/>
      <c r="BJ16" s="269"/>
      <c r="BK16" s="269"/>
      <c r="BL16" s="269"/>
      <c r="BM16" s="269"/>
      <c r="BN16" s="269"/>
      <c r="BO16" s="269"/>
      <c r="BP16" s="269"/>
      <c r="BQ16" s="269"/>
      <c r="BR16" s="269"/>
      <c r="BS16" s="269"/>
      <c r="BT16" s="269"/>
      <c r="BU16" s="269"/>
      <c r="BV16" s="269"/>
      <c r="BW16" s="269"/>
      <c r="BX16" s="269"/>
      <c r="BY16" s="269"/>
      <c r="BZ16" s="269"/>
      <c r="CA16" s="269"/>
      <c r="CB16" s="269"/>
      <c r="CC16" s="269"/>
      <c r="CD16" s="269"/>
      <c r="CE16" s="269"/>
      <c r="CF16" s="269"/>
      <c r="CG16" s="269"/>
      <c r="CH16" s="269"/>
      <c r="CI16" s="269"/>
      <c r="CJ16" s="212"/>
      <c r="CK16" s="212"/>
      <c r="CL16" s="212"/>
      <c r="CM16" s="212"/>
      <c r="CN16" s="212"/>
      <c r="CO16" s="212"/>
      <c r="CP16" s="212"/>
      <c r="CQ16" s="212"/>
      <c r="CR16" s="214"/>
      <c r="CS16" s="214"/>
      <c r="CT16" s="212"/>
      <c r="CU16" s="212"/>
      <c r="CV16" s="212"/>
      <c r="CW16" s="212"/>
      <c r="CX16" s="212"/>
      <c r="CY16" s="212"/>
      <c r="CZ16" s="212"/>
      <c r="DA16" s="212"/>
      <c r="DB16" s="212"/>
      <c r="DC16" s="212"/>
      <c r="DD16" s="212"/>
      <c r="DE16" s="212"/>
      <c r="DF16" s="212"/>
      <c r="DG16" s="212"/>
      <c r="DH16" s="212"/>
      <c r="DI16" s="212"/>
      <c r="DJ16" s="212"/>
      <c r="DK16" s="212"/>
      <c r="DL16" s="212"/>
      <c r="DM16" s="212"/>
      <c r="DN16" s="210"/>
      <c r="DO16" s="210"/>
      <c r="DP16" s="212"/>
      <c r="DQ16" s="210"/>
      <c r="DR16" s="210"/>
      <c r="DS16" s="210"/>
      <c r="DT16" s="210"/>
      <c r="DU16" s="212"/>
      <c r="DV16" s="212"/>
      <c r="DW16" s="214"/>
      <c r="DX16" s="214"/>
      <c r="DY16" s="212"/>
      <c r="DZ16" s="212"/>
      <c r="EA16" s="212"/>
      <c r="EB16" s="212"/>
      <c r="EC16" s="212"/>
      <c r="ED16" s="212"/>
      <c r="EE16" s="212"/>
      <c r="EF16" s="212"/>
      <c r="EG16" s="212"/>
      <c r="EH16" s="212"/>
      <c r="EI16" s="212"/>
      <c r="EJ16" s="212"/>
      <c r="EK16" s="212"/>
      <c r="EL16" s="212"/>
      <c r="EM16" s="212"/>
      <c r="EN16" s="212"/>
      <c r="EO16" s="212"/>
      <c r="EP16" s="212"/>
      <c r="EQ16" s="212"/>
      <c r="ER16" s="212"/>
      <c r="ES16" s="212"/>
      <c r="ET16" s="212"/>
      <c r="EU16" s="212"/>
      <c r="EV16" s="212"/>
      <c r="EW16" s="212"/>
      <c r="EX16" s="212"/>
      <c r="EY16" s="212"/>
      <c r="EZ16" s="212"/>
      <c r="FA16" s="212"/>
      <c r="FB16" s="212"/>
      <c r="FC16" s="212"/>
      <c r="FD16" s="212"/>
      <c r="FE16" s="212"/>
      <c r="FF16" s="212"/>
      <c r="FG16" s="212"/>
      <c r="FH16" s="212"/>
      <c r="FI16" s="212"/>
      <c r="FJ16" s="212"/>
      <c r="FK16" s="212"/>
      <c r="FL16" s="212"/>
      <c r="FM16" s="212"/>
      <c r="FN16" s="212"/>
      <c r="FO16" s="212"/>
      <c r="FP16" s="212"/>
      <c r="FQ16" s="212"/>
      <c r="FR16" s="212"/>
      <c r="FS16" s="212"/>
      <c r="FT16" s="212"/>
      <c r="FU16" s="212"/>
      <c r="FV16" s="212"/>
      <c r="FW16" s="212"/>
      <c r="FX16" s="212"/>
      <c r="FY16" s="212"/>
      <c r="FZ16" s="212"/>
      <c r="GA16" s="212"/>
      <c r="GB16" s="212"/>
      <c r="GC16" s="212"/>
      <c r="GD16" s="212"/>
      <c r="GE16" s="212"/>
      <c r="GF16" s="212"/>
      <c r="GG16" s="212"/>
      <c r="GH16" s="212"/>
      <c r="GI16" s="212"/>
      <c r="GJ16" s="212"/>
      <c r="GK16" s="212"/>
      <c r="GL16" s="212"/>
      <c r="GM16" s="212"/>
      <c r="GN16" s="212"/>
      <c r="GO16" s="212"/>
      <c r="GP16" s="212"/>
      <c r="GQ16" s="212"/>
      <c r="GR16" s="212"/>
      <c r="GS16" s="212"/>
      <c r="GT16" s="212"/>
      <c r="GU16" s="212"/>
      <c r="GV16" s="212"/>
      <c r="GW16" s="212"/>
      <c r="GX16" s="212"/>
      <c r="GY16" s="212"/>
      <c r="GZ16" s="212"/>
      <c r="HA16" s="212"/>
      <c r="HB16" s="212"/>
      <c r="HC16" s="212"/>
      <c r="HD16" s="212"/>
      <c r="HE16" s="212"/>
      <c r="HF16" s="212"/>
    </row>
    <row r="17" spans="1:214" s="217" customFormat="1" ht="22.5" customHeight="1">
      <c r="A17" s="216"/>
      <c r="B17" s="216" t="s">
        <v>2708</v>
      </c>
      <c r="C17" s="216"/>
      <c r="D17" s="204" t="s">
        <v>3172</v>
      </c>
      <c r="E17" s="266" t="s">
        <v>3173</v>
      </c>
      <c r="F17" s="212"/>
      <c r="G17" s="212">
        <v>1</v>
      </c>
      <c r="H17" s="200"/>
      <c r="I17" s="216"/>
      <c r="J17" s="210"/>
      <c r="K17" s="210"/>
      <c r="L17" s="210"/>
      <c r="M17" s="193"/>
      <c r="N17" s="193"/>
      <c r="O17" s="193"/>
      <c r="P17" s="193"/>
      <c r="Q17" s="193"/>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72"/>
      <c r="AO17" s="210"/>
      <c r="AP17" s="210"/>
      <c r="AQ17" s="210"/>
      <c r="AR17" s="210"/>
      <c r="AS17" s="210"/>
      <c r="AT17" s="210"/>
      <c r="AU17" s="210"/>
      <c r="AV17" s="210"/>
      <c r="AW17" s="210"/>
      <c r="AX17" s="210"/>
      <c r="AY17" s="210"/>
      <c r="AZ17" s="210"/>
      <c r="BA17" s="210"/>
      <c r="BB17" s="210"/>
      <c r="BC17" s="210"/>
      <c r="BD17" s="269"/>
      <c r="BE17" s="269"/>
      <c r="BF17" s="269"/>
      <c r="BG17" s="269"/>
      <c r="BH17" s="269"/>
      <c r="BI17" s="269"/>
      <c r="BJ17" s="269"/>
      <c r="BK17" s="269"/>
      <c r="BL17" s="269"/>
      <c r="BM17" s="269"/>
      <c r="BN17" s="269"/>
      <c r="BO17" s="269"/>
      <c r="BP17" s="269"/>
      <c r="BQ17" s="269"/>
      <c r="BR17" s="269"/>
      <c r="BS17" s="269"/>
      <c r="BT17" s="269"/>
      <c r="BU17" s="269"/>
      <c r="BV17" s="269"/>
      <c r="BW17" s="269"/>
      <c r="BX17" s="269"/>
      <c r="BY17" s="269"/>
      <c r="BZ17" s="269"/>
      <c r="CA17" s="269"/>
      <c r="CB17" s="269"/>
      <c r="CC17" s="269"/>
      <c r="CD17" s="269"/>
      <c r="CE17" s="269"/>
      <c r="CF17" s="269"/>
      <c r="CG17" s="269"/>
      <c r="CH17" s="269"/>
      <c r="CI17" s="269"/>
      <c r="CJ17" s="212"/>
      <c r="CK17" s="212"/>
      <c r="CL17" s="212"/>
      <c r="CM17" s="212"/>
      <c r="CN17" s="212"/>
      <c r="CO17" s="212"/>
      <c r="CP17" s="212"/>
      <c r="CQ17" s="212"/>
      <c r="CR17" s="214"/>
      <c r="CS17" s="214"/>
      <c r="CT17" s="212"/>
      <c r="CU17" s="212"/>
      <c r="CV17" s="212"/>
      <c r="CW17" s="212"/>
      <c r="CX17" s="212"/>
      <c r="CY17" s="212"/>
      <c r="CZ17" s="212"/>
      <c r="DA17" s="212"/>
      <c r="DB17" s="212"/>
      <c r="DC17" s="212"/>
      <c r="DD17" s="212"/>
      <c r="DE17" s="212"/>
      <c r="DF17" s="212"/>
      <c r="DG17" s="212"/>
      <c r="DH17" s="212"/>
      <c r="DI17" s="212"/>
      <c r="DJ17" s="212"/>
      <c r="DK17" s="212"/>
      <c r="DL17" s="211"/>
      <c r="DM17" s="211"/>
      <c r="DN17" s="210"/>
      <c r="DO17" s="210"/>
      <c r="DP17" s="212"/>
      <c r="DQ17" s="210"/>
      <c r="DR17" s="210"/>
      <c r="DS17" s="210"/>
      <c r="DT17" s="210"/>
      <c r="DU17" s="212"/>
      <c r="DV17" s="212"/>
      <c r="DW17" s="214"/>
      <c r="DX17" s="214"/>
      <c r="DY17" s="212"/>
      <c r="DZ17" s="212"/>
      <c r="EA17" s="212"/>
      <c r="EB17" s="212"/>
      <c r="EC17" s="212"/>
      <c r="ED17" s="212"/>
      <c r="EE17" s="212"/>
      <c r="EF17" s="212"/>
      <c r="EG17" s="212"/>
      <c r="EH17" s="212"/>
      <c r="EI17" s="212"/>
      <c r="EJ17" s="212"/>
      <c r="EK17" s="212"/>
      <c r="EL17" s="212"/>
      <c r="EM17" s="212"/>
      <c r="EN17" s="212"/>
      <c r="EO17" s="212"/>
      <c r="EP17" s="212"/>
      <c r="EQ17" s="212"/>
      <c r="ER17" s="212"/>
      <c r="ES17" s="212"/>
      <c r="ET17" s="212"/>
      <c r="EU17" s="212"/>
      <c r="EV17" s="212"/>
      <c r="EW17" s="212"/>
      <c r="EX17" s="212"/>
      <c r="EY17" s="212"/>
      <c r="EZ17" s="212"/>
      <c r="FA17" s="212"/>
      <c r="FB17" s="212"/>
      <c r="FC17" s="212"/>
      <c r="FD17" s="212"/>
      <c r="FE17" s="212"/>
      <c r="FF17" s="212"/>
      <c r="FG17" s="212"/>
      <c r="FH17" s="212"/>
      <c r="FI17" s="212"/>
      <c r="FJ17" s="212"/>
      <c r="FK17" s="212"/>
      <c r="FL17" s="212"/>
      <c r="FM17" s="212"/>
      <c r="FN17" s="212"/>
      <c r="FO17" s="212"/>
      <c r="FP17" s="212"/>
      <c r="FQ17" s="212"/>
      <c r="FR17" s="212"/>
      <c r="FS17" s="212"/>
      <c r="FT17" s="212"/>
      <c r="FU17" s="212"/>
      <c r="FV17" s="212"/>
      <c r="FW17" s="212"/>
      <c r="FX17" s="212"/>
      <c r="FY17" s="212"/>
      <c r="FZ17" s="212"/>
      <c r="GA17" s="212"/>
      <c r="GB17" s="212"/>
      <c r="GC17" s="212"/>
      <c r="GD17" s="212"/>
      <c r="GE17" s="212"/>
      <c r="GF17" s="212"/>
      <c r="GG17" s="212"/>
      <c r="GH17" s="212"/>
      <c r="GI17" s="212"/>
      <c r="GJ17" s="212"/>
      <c r="GK17" s="212"/>
      <c r="GL17" s="212"/>
      <c r="GM17" s="212"/>
      <c r="GN17" s="212"/>
      <c r="GO17" s="212"/>
      <c r="GP17" s="212"/>
      <c r="GQ17" s="212"/>
      <c r="GR17" s="212"/>
      <c r="GS17" s="212"/>
      <c r="GT17" s="212"/>
      <c r="GU17" s="212"/>
      <c r="GV17" s="212"/>
      <c r="GW17" s="212"/>
      <c r="GX17" s="212"/>
      <c r="GY17" s="212"/>
      <c r="GZ17" s="212"/>
      <c r="HA17" s="212"/>
      <c r="HB17" s="212"/>
      <c r="HC17" s="212"/>
      <c r="HD17" s="212"/>
      <c r="HE17" s="212"/>
      <c r="HF17" s="212"/>
    </row>
    <row r="18" spans="1:214" ht="22.5" customHeight="1">
      <c r="A18" s="220"/>
      <c r="B18" s="36" t="s">
        <v>2710</v>
      </c>
      <c r="C18" s="221"/>
      <c r="D18" s="36" t="s">
        <v>2709</v>
      </c>
      <c r="E18" s="36" t="s">
        <v>2711</v>
      </c>
      <c r="F18" s="211"/>
      <c r="G18" s="211"/>
      <c r="H18" s="212">
        <v>1</v>
      </c>
      <c r="I18" s="36"/>
      <c r="J18" s="210">
        <v>1</v>
      </c>
      <c r="K18" s="210"/>
      <c r="L18" s="210"/>
      <c r="M18" s="226">
        <v>1</v>
      </c>
      <c r="N18" s="210"/>
      <c r="O18" s="210"/>
      <c r="P18" s="210"/>
      <c r="Q18" s="210"/>
      <c r="R18" s="226">
        <v>1</v>
      </c>
      <c r="S18" s="226">
        <v>1</v>
      </c>
      <c r="T18" s="226">
        <v>1</v>
      </c>
      <c r="U18" s="226">
        <v>1</v>
      </c>
      <c r="V18" s="210"/>
      <c r="W18" s="210"/>
      <c r="X18" s="210"/>
      <c r="Y18" s="226">
        <v>1</v>
      </c>
      <c r="Z18" s="210"/>
      <c r="AA18" s="210"/>
      <c r="AB18" s="210"/>
      <c r="AC18" s="210"/>
      <c r="AD18" s="210"/>
      <c r="AE18" s="210"/>
      <c r="AF18" s="210"/>
      <c r="AG18" s="210"/>
      <c r="AH18" s="210"/>
      <c r="AI18" s="210"/>
      <c r="AJ18" s="210"/>
      <c r="AK18" s="210"/>
      <c r="AL18" s="210"/>
      <c r="AM18" s="210"/>
      <c r="AN18" s="272"/>
      <c r="AO18" s="29"/>
      <c r="AP18" s="29"/>
      <c r="AQ18" s="29"/>
      <c r="AR18" s="29"/>
      <c r="AS18" s="29"/>
      <c r="AT18" s="29"/>
      <c r="AU18" s="29"/>
      <c r="AV18" s="29"/>
      <c r="AW18" s="29"/>
      <c r="AX18" s="29"/>
      <c r="AY18" s="29"/>
      <c r="AZ18" s="29"/>
      <c r="BA18" s="29"/>
      <c r="BB18" s="29"/>
      <c r="BC18" s="29"/>
      <c r="BD18" s="269"/>
      <c r="BE18" s="269"/>
      <c r="BF18" s="269"/>
      <c r="BG18" s="269"/>
      <c r="BH18" s="269"/>
      <c r="BI18" s="269"/>
      <c r="BJ18" s="269"/>
      <c r="BK18" s="269"/>
      <c r="BL18" s="269"/>
      <c r="BM18" s="269"/>
      <c r="BN18" s="269"/>
      <c r="BO18" s="269"/>
      <c r="BP18" s="269"/>
      <c r="BQ18" s="269"/>
      <c r="BR18" s="269"/>
      <c r="BS18" s="269"/>
      <c r="BT18" s="269"/>
      <c r="BU18" s="269"/>
      <c r="BV18" s="269"/>
      <c r="BW18" s="269"/>
      <c r="BX18" s="269"/>
      <c r="BY18" s="269"/>
      <c r="BZ18" s="269"/>
      <c r="CA18" s="269"/>
      <c r="CB18" s="269"/>
      <c r="CC18" s="269"/>
      <c r="CD18" s="269"/>
      <c r="CE18" s="269"/>
      <c r="CF18" s="269"/>
      <c r="CG18" s="269"/>
      <c r="CH18" s="269"/>
      <c r="CI18" s="269"/>
      <c r="CJ18" s="211"/>
      <c r="CK18" s="211"/>
      <c r="CL18" s="211"/>
      <c r="CM18" s="211"/>
      <c r="CN18" s="211"/>
      <c r="CO18" s="211"/>
      <c r="CP18" s="211"/>
      <c r="CQ18" s="211"/>
      <c r="CR18" s="270"/>
      <c r="CS18" s="270"/>
      <c r="CT18" s="211"/>
      <c r="CU18" s="211"/>
      <c r="CV18" s="211"/>
      <c r="CW18" s="211"/>
      <c r="CX18" s="267">
        <v>1</v>
      </c>
      <c r="CY18" s="211"/>
      <c r="CZ18" s="211"/>
      <c r="DA18" s="211"/>
      <c r="DB18" s="211"/>
      <c r="DC18" s="211"/>
      <c r="DD18" s="211"/>
      <c r="DE18" s="211"/>
      <c r="DF18" s="211"/>
      <c r="DG18" s="211"/>
      <c r="DH18" s="211"/>
      <c r="DI18" s="211"/>
      <c r="DJ18" s="211"/>
      <c r="DK18" s="211"/>
      <c r="DL18" s="212"/>
      <c r="DM18" s="212"/>
      <c r="DN18" s="210"/>
      <c r="DO18" s="210"/>
      <c r="DP18" s="211"/>
      <c r="DQ18" s="29"/>
      <c r="DR18" s="29"/>
      <c r="DS18" s="29"/>
      <c r="DT18" s="29"/>
      <c r="DU18" s="211"/>
      <c r="DV18" s="211"/>
      <c r="DW18" s="214"/>
      <c r="DX18" s="214"/>
      <c r="DY18" s="211"/>
      <c r="DZ18" s="211"/>
      <c r="EA18" s="211"/>
      <c r="EB18" s="211"/>
      <c r="EC18" s="211"/>
      <c r="ED18" s="211"/>
      <c r="EE18" s="211"/>
      <c r="EF18" s="211"/>
      <c r="EG18" s="211"/>
      <c r="EH18" s="211"/>
      <c r="EI18" s="212"/>
      <c r="EJ18" s="212"/>
      <c r="EK18" s="212"/>
      <c r="EL18" s="212"/>
      <c r="EM18" s="212"/>
      <c r="EN18" s="212"/>
      <c r="EO18" s="211"/>
      <c r="EP18" s="211"/>
      <c r="EQ18" s="211"/>
      <c r="ER18" s="211"/>
      <c r="ES18" s="211"/>
      <c r="ET18" s="211"/>
      <c r="EU18" s="211"/>
      <c r="EV18" s="211"/>
      <c r="EW18" s="211"/>
      <c r="EX18" s="211"/>
      <c r="EY18" s="211"/>
      <c r="EZ18" s="211"/>
      <c r="FA18" s="211"/>
      <c r="FB18" s="211"/>
      <c r="FC18" s="211"/>
      <c r="FD18" s="211"/>
      <c r="FE18" s="211"/>
      <c r="FF18" s="211"/>
      <c r="FG18" s="211"/>
      <c r="FH18" s="211"/>
      <c r="FI18" s="211"/>
      <c r="FJ18" s="211"/>
      <c r="FK18" s="211"/>
      <c r="FL18" s="211"/>
      <c r="FM18" s="211"/>
      <c r="FN18" s="211"/>
      <c r="FO18" s="211"/>
      <c r="FP18" s="211"/>
      <c r="FQ18" s="211"/>
      <c r="FR18" s="211"/>
      <c r="FS18" s="211"/>
      <c r="FT18" s="211"/>
      <c r="FU18" s="211"/>
      <c r="FV18" s="211"/>
      <c r="FW18" s="211"/>
      <c r="FX18" s="211"/>
      <c r="FY18" s="211"/>
      <c r="FZ18" s="211"/>
      <c r="GA18" s="211"/>
      <c r="GB18" s="211"/>
      <c r="GC18" s="211"/>
      <c r="GD18" s="211"/>
      <c r="GE18" s="211"/>
      <c r="GF18" s="211"/>
      <c r="GG18" s="211"/>
      <c r="GH18" s="211"/>
      <c r="GI18" s="211"/>
      <c r="GJ18" s="211"/>
      <c r="GK18" s="211"/>
      <c r="GL18" s="211"/>
      <c r="GM18" s="211"/>
      <c r="GN18" s="211"/>
      <c r="GO18" s="211"/>
      <c r="GP18" s="211"/>
      <c r="GQ18" s="211"/>
      <c r="GR18" s="211"/>
      <c r="GS18" s="211"/>
      <c r="GT18" s="211"/>
      <c r="GU18" s="211"/>
      <c r="GV18" s="211"/>
      <c r="GW18" s="211"/>
      <c r="GX18" s="211"/>
      <c r="GY18" s="211"/>
      <c r="GZ18" s="211"/>
      <c r="HA18" s="211"/>
      <c r="HB18" s="211"/>
      <c r="HC18" s="211"/>
      <c r="HD18" s="211"/>
      <c r="HE18" s="211"/>
      <c r="HF18" s="211"/>
    </row>
    <row r="19" spans="1:214" ht="22.5" customHeight="1">
      <c r="A19" s="220"/>
      <c r="B19" s="36" t="s">
        <v>2710</v>
      </c>
      <c r="C19" s="221"/>
      <c r="D19" s="36" t="s">
        <v>2709</v>
      </c>
      <c r="E19" s="36" t="s">
        <v>2712</v>
      </c>
      <c r="F19" s="211"/>
      <c r="G19" s="211"/>
      <c r="H19" s="212">
        <v>2</v>
      </c>
      <c r="I19" s="36"/>
      <c r="J19" s="210">
        <v>1</v>
      </c>
      <c r="K19" s="210"/>
      <c r="L19" s="210"/>
      <c r="M19" s="226">
        <v>1</v>
      </c>
      <c r="N19" s="226">
        <v>1</v>
      </c>
      <c r="O19" s="226">
        <v>1</v>
      </c>
      <c r="P19" s="210"/>
      <c r="Q19" s="210"/>
      <c r="R19" s="226">
        <v>1</v>
      </c>
      <c r="S19" s="226">
        <v>1</v>
      </c>
      <c r="T19" s="226">
        <v>1</v>
      </c>
      <c r="U19" s="226">
        <v>1</v>
      </c>
      <c r="V19" s="210"/>
      <c r="W19" s="210"/>
      <c r="X19" s="210"/>
      <c r="Y19" s="226">
        <v>1</v>
      </c>
      <c r="Z19" s="210"/>
      <c r="AA19" s="210"/>
      <c r="AB19" s="210"/>
      <c r="AC19" s="210"/>
      <c r="AD19" s="210"/>
      <c r="AE19" s="210"/>
      <c r="AF19" s="210"/>
      <c r="AG19" s="210"/>
      <c r="AH19" s="210"/>
      <c r="AI19" s="210"/>
      <c r="AJ19" s="210"/>
      <c r="AK19" s="210"/>
      <c r="AL19" s="210"/>
      <c r="AM19" s="210"/>
      <c r="AN19" s="272"/>
      <c r="AO19" s="29"/>
      <c r="AP19" s="29"/>
      <c r="AQ19" s="29"/>
      <c r="AR19" s="29"/>
      <c r="AS19" s="29"/>
      <c r="AT19" s="29"/>
      <c r="AU19" s="29"/>
      <c r="AV19" s="29"/>
      <c r="AW19" s="29"/>
      <c r="AX19" s="29"/>
      <c r="AY19" s="29"/>
      <c r="AZ19" s="29"/>
      <c r="BA19" s="29"/>
      <c r="BB19" s="29"/>
      <c r="BC19" s="29"/>
      <c r="BD19" s="269"/>
      <c r="BE19" s="269"/>
      <c r="BF19" s="269"/>
      <c r="BG19" s="269"/>
      <c r="BH19" s="269"/>
      <c r="BI19" s="269"/>
      <c r="BJ19" s="269"/>
      <c r="BK19" s="269"/>
      <c r="BL19" s="269"/>
      <c r="BM19" s="269"/>
      <c r="BN19" s="269"/>
      <c r="BO19" s="269"/>
      <c r="BP19" s="269"/>
      <c r="BQ19" s="269"/>
      <c r="BR19" s="269"/>
      <c r="BS19" s="269"/>
      <c r="BT19" s="269"/>
      <c r="BU19" s="269"/>
      <c r="BV19" s="269"/>
      <c r="BW19" s="269"/>
      <c r="BX19" s="269"/>
      <c r="BY19" s="269"/>
      <c r="BZ19" s="269"/>
      <c r="CA19" s="269"/>
      <c r="CB19" s="269"/>
      <c r="CC19" s="269"/>
      <c r="CD19" s="269"/>
      <c r="CE19" s="269"/>
      <c r="CF19" s="269"/>
      <c r="CG19" s="269"/>
      <c r="CH19" s="269"/>
      <c r="CI19" s="269"/>
      <c r="CJ19" s="211"/>
      <c r="CK19" s="211"/>
      <c r="CL19" s="211"/>
      <c r="CM19" s="211"/>
      <c r="CN19" s="211"/>
      <c r="CO19" s="211"/>
      <c r="CP19" s="211"/>
      <c r="CQ19" s="211"/>
      <c r="CR19" s="270"/>
      <c r="CS19" s="270"/>
      <c r="CT19" s="211"/>
      <c r="CU19" s="211"/>
      <c r="CV19" s="211"/>
      <c r="CW19" s="211"/>
      <c r="CX19" s="211"/>
      <c r="CY19" s="211"/>
      <c r="CZ19" s="211"/>
      <c r="DA19" s="211"/>
      <c r="DB19" s="211"/>
      <c r="DC19" s="211"/>
      <c r="DD19" s="211"/>
      <c r="DE19" s="211"/>
      <c r="DF19" s="211"/>
      <c r="DG19" s="211"/>
      <c r="DH19" s="211"/>
      <c r="DI19" s="211"/>
      <c r="DJ19" s="211"/>
      <c r="DK19" s="267">
        <v>1</v>
      </c>
      <c r="DL19" s="212"/>
      <c r="DM19" s="212"/>
      <c r="DN19" s="210"/>
      <c r="DO19" s="210"/>
      <c r="DP19" s="211"/>
      <c r="DQ19" s="29"/>
      <c r="DR19" s="29"/>
      <c r="DS19" s="29"/>
      <c r="DT19" s="29"/>
      <c r="DU19" s="211"/>
      <c r="DV19" s="211"/>
      <c r="DW19" s="214"/>
      <c r="DX19" s="214"/>
      <c r="DY19" s="211"/>
      <c r="DZ19" s="211"/>
      <c r="EA19" s="211"/>
      <c r="EB19" s="211"/>
      <c r="EC19" s="211"/>
      <c r="ED19" s="211"/>
      <c r="EE19" s="211"/>
      <c r="EF19" s="211"/>
      <c r="EG19" s="211"/>
      <c r="EH19" s="211"/>
      <c r="EI19" s="212"/>
      <c r="EJ19" s="212"/>
      <c r="EK19" s="212"/>
      <c r="EL19" s="212"/>
      <c r="EM19" s="212"/>
      <c r="EN19" s="212"/>
      <c r="EO19" s="211"/>
      <c r="EP19" s="211"/>
      <c r="EQ19" s="211"/>
      <c r="ER19" s="211"/>
      <c r="ES19" s="211"/>
      <c r="ET19" s="211"/>
      <c r="EU19" s="211"/>
      <c r="EV19" s="211"/>
      <c r="EW19" s="211"/>
      <c r="EX19" s="211"/>
      <c r="EY19" s="211"/>
      <c r="EZ19" s="211"/>
      <c r="FA19" s="211"/>
      <c r="FB19" s="211"/>
      <c r="FC19" s="211"/>
      <c r="FD19" s="211"/>
      <c r="FE19" s="211"/>
      <c r="FF19" s="211"/>
      <c r="FG19" s="211"/>
      <c r="FH19" s="211"/>
      <c r="FI19" s="211"/>
      <c r="FJ19" s="211"/>
      <c r="FK19" s="211"/>
      <c r="FL19" s="211"/>
      <c r="FM19" s="211"/>
      <c r="FN19" s="211"/>
      <c r="FO19" s="211"/>
      <c r="FP19" s="211"/>
      <c r="FQ19" s="211"/>
      <c r="FR19" s="211"/>
      <c r="FS19" s="211"/>
      <c r="FT19" s="211"/>
      <c r="FU19" s="211"/>
      <c r="FV19" s="211"/>
      <c r="FW19" s="211"/>
      <c r="FX19" s="211"/>
      <c r="FY19" s="211"/>
      <c r="FZ19" s="211"/>
      <c r="GA19" s="211"/>
      <c r="GB19" s="211"/>
      <c r="GC19" s="211"/>
      <c r="GD19" s="211"/>
      <c r="GE19" s="211"/>
      <c r="GF19" s="211"/>
      <c r="GG19" s="211"/>
      <c r="GH19" s="211"/>
      <c r="GI19" s="211"/>
      <c r="GJ19" s="211"/>
      <c r="GK19" s="211"/>
      <c r="GL19" s="211"/>
      <c r="GM19" s="211"/>
      <c r="GN19" s="211"/>
      <c r="GO19" s="211"/>
      <c r="GP19" s="211"/>
      <c r="GQ19" s="211"/>
      <c r="GR19" s="211"/>
      <c r="GS19" s="211"/>
      <c r="GT19" s="211"/>
      <c r="GU19" s="211"/>
      <c r="GV19" s="211"/>
      <c r="GW19" s="211"/>
      <c r="GX19" s="211"/>
      <c r="GY19" s="211"/>
      <c r="GZ19" s="211"/>
      <c r="HA19" s="211"/>
      <c r="HB19" s="211"/>
      <c r="HC19" s="211"/>
      <c r="HD19" s="211"/>
      <c r="HE19" s="211"/>
      <c r="HF19" s="211"/>
    </row>
    <row r="20" spans="1:214" ht="22.5" customHeight="1">
      <c r="A20" s="220"/>
      <c r="B20" s="223" t="s">
        <v>2301</v>
      </c>
      <c r="C20" s="224"/>
      <c r="D20" s="36" t="s">
        <v>2302</v>
      </c>
      <c r="E20" s="36"/>
      <c r="F20" s="211"/>
      <c r="G20" s="211"/>
      <c r="H20" s="212"/>
      <c r="I20" s="36"/>
      <c r="J20" s="210"/>
      <c r="K20" s="210"/>
      <c r="L20" s="409" t="s">
        <v>3340</v>
      </c>
      <c r="M20" s="226">
        <v>1</v>
      </c>
      <c r="N20" s="210"/>
      <c r="O20" s="210"/>
      <c r="P20" s="210"/>
      <c r="Q20" s="210"/>
      <c r="R20" s="226">
        <v>1</v>
      </c>
      <c r="S20" s="226">
        <v>1</v>
      </c>
      <c r="T20" s="210"/>
      <c r="U20" s="210"/>
      <c r="V20" s="210"/>
      <c r="W20" s="210"/>
      <c r="X20" s="226">
        <v>1</v>
      </c>
      <c r="Y20" s="210"/>
      <c r="Z20" s="210"/>
      <c r="AA20" s="210"/>
      <c r="AB20" s="210"/>
      <c r="AC20" s="210"/>
      <c r="AD20" s="210"/>
      <c r="AE20" s="210"/>
      <c r="AF20" s="210"/>
      <c r="AG20" s="210"/>
      <c r="AH20" s="210"/>
      <c r="AI20" s="210"/>
      <c r="AJ20" s="210"/>
      <c r="AK20" s="210"/>
      <c r="AL20" s="210"/>
      <c r="AM20" s="210"/>
      <c r="AN20" s="272"/>
      <c r="AO20" s="29"/>
      <c r="AP20" s="29"/>
      <c r="AQ20" s="29"/>
      <c r="AR20" s="29"/>
      <c r="AS20" s="29"/>
      <c r="AT20" s="29"/>
      <c r="AU20" s="29"/>
      <c r="AV20" s="29"/>
      <c r="AW20" s="29"/>
      <c r="AX20" s="29"/>
      <c r="AY20" s="29"/>
      <c r="AZ20" s="29"/>
      <c r="BA20" s="29"/>
      <c r="BB20" s="29"/>
      <c r="BC20" s="29"/>
      <c r="BD20" s="269"/>
      <c r="BE20" s="269"/>
      <c r="BF20" s="269"/>
      <c r="BG20" s="269"/>
      <c r="BH20" s="269"/>
      <c r="BI20" s="269"/>
      <c r="BJ20" s="269"/>
      <c r="BK20" s="269"/>
      <c r="BL20" s="269"/>
      <c r="BM20" s="269"/>
      <c r="BN20" s="269"/>
      <c r="BO20" s="269"/>
      <c r="BP20" s="269"/>
      <c r="BQ20" s="269"/>
      <c r="BR20" s="269"/>
      <c r="BS20" s="269"/>
      <c r="BT20" s="269"/>
      <c r="BU20" s="269"/>
      <c r="BV20" s="269"/>
      <c r="BW20" s="269"/>
      <c r="BX20" s="269"/>
      <c r="BY20" s="269"/>
      <c r="BZ20" s="269"/>
      <c r="CA20" s="269"/>
      <c r="CB20" s="269"/>
      <c r="CC20" s="269"/>
      <c r="CD20" s="269"/>
      <c r="CE20" s="269"/>
      <c r="CF20" s="269"/>
      <c r="CG20" s="269"/>
      <c r="CH20" s="269"/>
      <c r="CI20" s="269"/>
      <c r="CJ20" s="211"/>
      <c r="CK20" s="211"/>
      <c r="CL20" s="211"/>
      <c r="CM20" s="211"/>
      <c r="CN20" s="211"/>
      <c r="CO20" s="211"/>
      <c r="CP20" s="211"/>
      <c r="CQ20" s="211"/>
      <c r="CR20" s="214"/>
      <c r="CS20" s="214"/>
      <c r="CT20" s="211"/>
      <c r="CU20" s="211"/>
      <c r="CV20" s="211"/>
      <c r="CW20" s="211"/>
      <c r="CX20" s="211"/>
      <c r="CY20" s="211"/>
      <c r="CZ20" s="211"/>
      <c r="DA20" s="211"/>
      <c r="DB20" s="211"/>
      <c r="DC20" s="211"/>
      <c r="DD20" s="211"/>
      <c r="DE20" s="211"/>
      <c r="DF20" s="211"/>
      <c r="DG20" s="211"/>
      <c r="DH20" s="211"/>
      <c r="DI20" s="211"/>
      <c r="DJ20" s="211"/>
      <c r="DK20" s="211"/>
      <c r="DL20" s="212"/>
      <c r="DM20" s="212"/>
      <c r="DN20" s="210"/>
      <c r="DO20" s="210"/>
      <c r="DP20" s="211"/>
      <c r="DQ20" s="29"/>
      <c r="DR20" s="29"/>
      <c r="DS20" s="29"/>
      <c r="DT20" s="29"/>
      <c r="DU20" s="211"/>
      <c r="DV20" s="211"/>
      <c r="DW20" s="214"/>
      <c r="DX20" s="214"/>
      <c r="DY20" s="211"/>
      <c r="DZ20" s="211"/>
      <c r="EA20" s="211"/>
      <c r="EB20" s="211"/>
      <c r="EC20" s="211"/>
      <c r="ED20" s="211"/>
      <c r="EE20" s="211"/>
      <c r="EF20" s="211"/>
      <c r="EG20" s="211"/>
      <c r="EH20" s="211"/>
      <c r="EI20" s="212"/>
      <c r="EJ20" s="212"/>
      <c r="EK20" s="212"/>
      <c r="EL20" s="212"/>
      <c r="EM20" s="212"/>
      <c r="EN20" s="212"/>
      <c r="EO20" s="211"/>
      <c r="EP20" s="211"/>
      <c r="EQ20" s="211"/>
      <c r="ER20" s="211"/>
      <c r="ES20" s="211"/>
      <c r="ET20" s="211"/>
      <c r="EU20" s="211"/>
      <c r="EV20" s="211"/>
      <c r="EW20" s="211"/>
      <c r="EX20" s="211"/>
      <c r="EY20" s="211"/>
      <c r="EZ20" s="211"/>
      <c r="FA20" s="211"/>
      <c r="FB20" s="211"/>
      <c r="FC20" s="211"/>
      <c r="FD20" s="211"/>
      <c r="FE20" s="211"/>
      <c r="FF20" s="211"/>
      <c r="FG20" s="211"/>
      <c r="FH20" s="211"/>
      <c r="FI20" s="211"/>
      <c r="FJ20" s="211"/>
      <c r="FK20" s="211"/>
      <c r="FL20" s="211"/>
      <c r="FM20" s="211"/>
      <c r="FN20" s="211"/>
      <c r="FO20" s="211"/>
      <c r="FP20" s="211"/>
      <c r="FQ20" s="211"/>
      <c r="FR20" s="211"/>
      <c r="FS20" s="211"/>
      <c r="FT20" s="211"/>
      <c r="FU20" s="211"/>
      <c r="FV20" s="211"/>
      <c r="FW20" s="211"/>
      <c r="FX20" s="211"/>
      <c r="FY20" s="211"/>
      <c r="FZ20" s="211"/>
      <c r="GA20" s="211"/>
      <c r="GB20" s="211"/>
      <c r="GC20" s="211"/>
      <c r="GD20" s="211"/>
      <c r="GE20" s="211"/>
      <c r="GF20" s="211"/>
      <c r="GG20" s="211"/>
      <c r="GH20" s="211"/>
      <c r="GI20" s="211"/>
      <c r="GJ20" s="211"/>
      <c r="GK20" s="211"/>
      <c r="GL20" s="211"/>
      <c r="GM20" s="211"/>
      <c r="GN20" s="211"/>
      <c r="GO20" s="211"/>
      <c r="GP20" s="211"/>
      <c r="GQ20" s="211"/>
      <c r="GR20" s="211"/>
      <c r="GS20" s="211"/>
      <c r="GT20" s="211"/>
      <c r="GU20" s="211"/>
      <c r="GV20" s="211"/>
      <c r="GW20" s="211"/>
      <c r="GX20" s="211"/>
      <c r="GY20" s="211"/>
      <c r="GZ20" s="211"/>
      <c r="HA20" s="211"/>
      <c r="HB20" s="211"/>
      <c r="HC20" s="211"/>
      <c r="HD20" s="211"/>
      <c r="HE20" s="211"/>
      <c r="HF20" s="211"/>
    </row>
    <row r="21" spans="1:214" ht="22.5" customHeight="1">
      <c r="A21" s="220"/>
      <c r="B21" s="223" t="s">
        <v>2960</v>
      </c>
      <c r="C21" s="224"/>
      <c r="D21" s="36" t="s">
        <v>2960</v>
      </c>
      <c r="E21" s="36"/>
      <c r="F21" s="211"/>
      <c r="G21" s="211"/>
      <c r="H21" s="212"/>
      <c r="I21" s="36"/>
      <c r="J21" s="210"/>
      <c r="K21" s="210"/>
      <c r="L21" s="409" t="s">
        <v>3340</v>
      </c>
      <c r="M21" s="210"/>
      <c r="N21" s="226">
        <v>1</v>
      </c>
      <c r="O21" s="210"/>
      <c r="P21" s="210"/>
      <c r="Q21" s="210"/>
      <c r="R21" s="226">
        <v>1</v>
      </c>
      <c r="S21" s="226">
        <v>1</v>
      </c>
      <c r="T21" s="210"/>
      <c r="U21" s="210"/>
      <c r="V21" s="210"/>
      <c r="W21" s="210"/>
      <c r="X21" s="226">
        <v>1</v>
      </c>
      <c r="Y21" s="210"/>
      <c r="Z21" s="210"/>
      <c r="AA21" s="210"/>
      <c r="AB21" s="210"/>
      <c r="AC21" s="210"/>
      <c r="AD21" s="210"/>
      <c r="AE21" s="210"/>
      <c r="AF21" s="210"/>
      <c r="AG21" s="210"/>
      <c r="AH21" s="210"/>
      <c r="AI21" s="210"/>
      <c r="AJ21" s="210"/>
      <c r="AK21" s="210"/>
      <c r="AL21" s="210"/>
      <c r="AM21" s="210"/>
      <c r="AN21" s="272"/>
      <c r="AO21" s="29"/>
      <c r="AP21" s="29"/>
      <c r="AQ21" s="29"/>
      <c r="AR21" s="29"/>
      <c r="AS21" s="29"/>
      <c r="AT21" s="29"/>
      <c r="AU21" s="29"/>
      <c r="AV21" s="29"/>
      <c r="AW21" s="29"/>
      <c r="AX21" s="29"/>
      <c r="AY21" s="29"/>
      <c r="AZ21" s="29"/>
      <c r="BA21" s="29"/>
      <c r="BB21" s="29"/>
      <c r="BC21" s="29"/>
      <c r="BD21" s="269"/>
      <c r="BE21" s="269"/>
      <c r="BF21" s="269"/>
      <c r="BG21" s="269"/>
      <c r="BH21" s="269"/>
      <c r="BI21" s="269"/>
      <c r="BJ21" s="269"/>
      <c r="BK21" s="269"/>
      <c r="BL21" s="269"/>
      <c r="BM21" s="269"/>
      <c r="BN21" s="269"/>
      <c r="BO21" s="269"/>
      <c r="BP21" s="269"/>
      <c r="BQ21" s="269"/>
      <c r="BR21" s="269"/>
      <c r="BS21" s="269"/>
      <c r="BT21" s="269"/>
      <c r="BU21" s="269"/>
      <c r="BV21" s="269"/>
      <c r="BW21" s="269"/>
      <c r="BX21" s="269"/>
      <c r="BY21" s="269"/>
      <c r="BZ21" s="269"/>
      <c r="CA21" s="269"/>
      <c r="CB21" s="269"/>
      <c r="CC21" s="269"/>
      <c r="CD21" s="269"/>
      <c r="CE21" s="269"/>
      <c r="CF21" s="269"/>
      <c r="CG21" s="269"/>
      <c r="CH21" s="269"/>
      <c r="CI21" s="269"/>
      <c r="CJ21" s="211"/>
      <c r="CK21" s="211"/>
      <c r="CL21" s="211"/>
      <c r="CM21" s="211"/>
      <c r="CN21" s="211"/>
      <c r="CO21" s="211"/>
      <c r="CP21" s="211"/>
      <c r="CQ21" s="211"/>
      <c r="CR21" s="214"/>
      <c r="CS21" s="214"/>
      <c r="CT21" s="211"/>
      <c r="CU21" s="211"/>
      <c r="CV21" s="211"/>
      <c r="CW21" s="211"/>
      <c r="CX21" s="211"/>
      <c r="CY21" s="211"/>
      <c r="CZ21" s="211"/>
      <c r="DA21" s="211"/>
      <c r="DB21" s="211"/>
      <c r="DC21" s="211"/>
      <c r="DD21" s="211"/>
      <c r="DE21" s="211"/>
      <c r="DF21" s="211"/>
      <c r="DG21" s="211"/>
      <c r="DH21" s="211"/>
      <c r="DI21" s="211"/>
      <c r="DJ21" s="211"/>
      <c r="DK21" s="211"/>
      <c r="DL21" s="212"/>
      <c r="DM21" s="212"/>
      <c r="DN21" s="210"/>
      <c r="DO21" s="210"/>
      <c r="DP21" s="211"/>
      <c r="DQ21" s="29"/>
      <c r="DR21" s="29"/>
      <c r="DS21" s="29"/>
      <c r="DT21" s="29"/>
      <c r="DU21" s="211"/>
      <c r="DV21" s="211"/>
      <c r="DW21" s="214"/>
      <c r="DX21" s="214"/>
      <c r="DY21" s="211"/>
      <c r="DZ21" s="211"/>
      <c r="EA21" s="211"/>
      <c r="EB21" s="211"/>
      <c r="EC21" s="211"/>
      <c r="ED21" s="211"/>
      <c r="EE21" s="211"/>
      <c r="EF21" s="211"/>
      <c r="EG21" s="211"/>
      <c r="EH21" s="211"/>
      <c r="EI21" s="212"/>
      <c r="EJ21" s="212"/>
      <c r="EK21" s="212"/>
      <c r="EL21" s="212"/>
      <c r="EM21" s="212"/>
      <c r="EN21" s="212"/>
      <c r="EO21" s="211"/>
      <c r="EP21" s="211"/>
      <c r="EQ21" s="211"/>
      <c r="ER21" s="211"/>
      <c r="ES21" s="211"/>
      <c r="ET21" s="211"/>
      <c r="EU21" s="211"/>
      <c r="EV21" s="211"/>
      <c r="EW21" s="211"/>
      <c r="EX21" s="211"/>
      <c r="EY21" s="211"/>
      <c r="EZ21" s="211"/>
      <c r="FA21" s="211"/>
      <c r="FB21" s="211"/>
      <c r="FC21" s="211"/>
      <c r="FD21" s="211"/>
      <c r="FE21" s="211"/>
      <c r="FF21" s="211"/>
      <c r="FG21" s="211"/>
      <c r="FH21" s="211"/>
      <c r="FI21" s="211"/>
      <c r="FJ21" s="211"/>
      <c r="FK21" s="211"/>
      <c r="FL21" s="211"/>
      <c r="FM21" s="211"/>
      <c r="FN21" s="211"/>
      <c r="FO21" s="211"/>
      <c r="FP21" s="211"/>
      <c r="FQ21" s="211"/>
      <c r="FR21" s="211"/>
      <c r="FS21" s="211"/>
      <c r="FT21" s="211"/>
      <c r="FU21" s="211"/>
      <c r="FV21" s="211"/>
      <c r="FW21" s="211"/>
      <c r="FX21" s="211"/>
      <c r="FY21" s="211"/>
      <c r="FZ21" s="211"/>
      <c r="GA21" s="211"/>
      <c r="GB21" s="211"/>
      <c r="GC21" s="211"/>
      <c r="GD21" s="211"/>
      <c r="GE21" s="211"/>
      <c r="GF21" s="211"/>
      <c r="GG21" s="211"/>
      <c r="GH21" s="211"/>
      <c r="GI21" s="211"/>
      <c r="GJ21" s="211"/>
      <c r="GK21" s="211"/>
      <c r="GL21" s="211"/>
      <c r="GM21" s="211"/>
      <c r="GN21" s="211"/>
      <c r="GO21" s="211"/>
      <c r="GP21" s="211"/>
      <c r="GQ21" s="211"/>
      <c r="GR21" s="211"/>
      <c r="GS21" s="211"/>
      <c r="GT21" s="211"/>
      <c r="GU21" s="211"/>
      <c r="GV21" s="211"/>
      <c r="GW21" s="211"/>
      <c r="GX21" s="211"/>
      <c r="GY21" s="211"/>
      <c r="GZ21" s="211"/>
      <c r="HA21" s="211"/>
      <c r="HB21" s="211"/>
      <c r="HC21" s="211"/>
      <c r="HD21" s="211"/>
      <c r="HE21" s="211"/>
      <c r="HF21" s="211"/>
    </row>
    <row r="22" spans="1:214" ht="22.5" customHeight="1">
      <c r="A22" s="220"/>
      <c r="B22" s="223" t="s">
        <v>2961</v>
      </c>
      <c r="C22" s="224"/>
      <c r="D22" s="36" t="s">
        <v>2961</v>
      </c>
      <c r="E22" s="36"/>
      <c r="F22" s="211"/>
      <c r="G22" s="211"/>
      <c r="H22" s="212"/>
      <c r="I22" s="36"/>
      <c r="J22" s="210"/>
      <c r="K22" s="210"/>
      <c r="L22" s="409" t="s">
        <v>3340</v>
      </c>
      <c r="M22" s="210"/>
      <c r="N22" s="210"/>
      <c r="O22" s="226">
        <v>1</v>
      </c>
      <c r="P22" s="210"/>
      <c r="Q22" s="210"/>
      <c r="R22" s="226">
        <v>1</v>
      </c>
      <c r="S22" s="226">
        <v>1</v>
      </c>
      <c r="T22" s="210"/>
      <c r="U22" s="210"/>
      <c r="V22" s="210"/>
      <c r="W22" s="210"/>
      <c r="X22" s="226">
        <v>1</v>
      </c>
      <c r="Y22" s="210"/>
      <c r="Z22" s="210"/>
      <c r="AA22" s="210"/>
      <c r="AB22" s="210"/>
      <c r="AC22" s="210"/>
      <c r="AD22" s="210"/>
      <c r="AE22" s="210"/>
      <c r="AF22" s="210"/>
      <c r="AG22" s="210"/>
      <c r="AH22" s="210"/>
      <c r="AI22" s="210"/>
      <c r="AJ22" s="210"/>
      <c r="AK22" s="210"/>
      <c r="AL22" s="210"/>
      <c r="AM22" s="210"/>
      <c r="AN22" s="272"/>
      <c r="AO22" s="29"/>
      <c r="AP22" s="29"/>
      <c r="AQ22" s="29"/>
      <c r="AR22" s="29"/>
      <c r="AS22" s="29"/>
      <c r="AT22" s="29"/>
      <c r="AU22" s="29"/>
      <c r="AV22" s="29"/>
      <c r="AW22" s="29"/>
      <c r="AX22" s="29"/>
      <c r="AY22" s="29"/>
      <c r="AZ22" s="29"/>
      <c r="BA22" s="29"/>
      <c r="BB22" s="29"/>
      <c r="BC22" s="29"/>
      <c r="BD22" s="269"/>
      <c r="BE22" s="269"/>
      <c r="BF22" s="269"/>
      <c r="BG22" s="269"/>
      <c r="BH22" s="269"/>
      <c r="BI22" s="269"/>
      <c r="BJ22" s="269"/>
      <c r="BK22" s="269"/>
      <c r="BL22" s="269"/>
      <c r="BM22" s="269"/>
      <c r="BN22" s="269"/>
      <c r="BO22" s="269"/>
      <c r="BP22" s="269"/>
      <c r="BQ22" s="269"/>
      <c r="BR22" s="269"/>
      <c r="BS22" s="269"/>
      <c r="BT22" s="269"/>
      <c r="BU22" s="269"/>
      <c r="BV22" s="269"/>
      <c r="BW22" s="269"/>
      <c r="BX22" s="269"/>
      <c r="BY22" s="269"/>
      <c r="BZ22" s="269"/>
      <c r="CA22" s="269"/>
      <c r="CB22" s="269"/>
      <c r="CC22" s="269"/>
      <c r="CD22" s="269"/>
      <c r="CE22" s="269"/>
      <c r="CF22" s="269"/>
      <c r="CG22" s="269"/>
      <c r="CH22" s="269"/>
      <c r="CI22" s="269"/>
      <c r="CJ22" s="211"/>
      <c r="CK22" s="211"/>
      <c r="CL22" s="211"/>
      <c r="CM22" s="211"/>
      <c r="CN22" s="211"/>
      <c r="CO22" s="211"/>
      <c r="CP22" s="211"/>
      <c r="CQ22" s="211"/>
      <c r="CR22" s="214"/>
      <c r="CS22" s="214"/>
      <c r="CT22" s="211"/>
      <c r="CU22" s="211"/>
      <c r="CV22" s="211"/>
      <c r="CW22" s="211"/>
      <c r="CX22" s="211"/>
      <c r="CY22" s="211"/>
      <c r="CZ22" s="211"/>
      <c r="DA22" s="211"/>
      <c r="DB22" s="211"/>
      <c r="DC22" s="211"/>
      <c r="DD22" s="211"/>
      <c r="DE22" s="211"/>
      <c r="DF22" s="211"/>
      <c r="DG22" s="211"/>
      <c r="DH22" s="211"/>
      <c r="DI22" s="211"/>
      <c r="DJ22" s="211"/>
      <c r="DK22" s="211"/>
      <c r="DL22" s="212"/>
      <c r="DM22" s="212"/>
      <c r="DN22" s="210"/>
      <c r="DO22" s="210"/>
      <c r="DP22" s="211"/>
      <c r="DQ22" s="29"/>
      <c r="DR22" s="29"/>
      <c r="DS22" s="29"/>
      <c r="DT22" s="29"/>
      <c r="DU22" s="211"/>
      <c r="DV22" s="211"/>
      <c r="DW22" s="214"/>
      <c r="DX22" s="214"/>
      <c r="DY22" s="211"/>
      <c r="DZ22" s="211"/>
      <c r="EA22" s="211"/>
      <c r="EB22" s="211"/>
      <c r="EC22" s="211"/>
      <c r="ED22" s="211"/>
      <c r="EE22" s="211"/>
      <c r="EF22" s="211"/>
      <c r="EG22" s="211"/>
      <c r="EH22" s="211"/>
      <c r="EI22" s="212"/>
      <c r="EJ22" s="212"/>
      <c r="EK22" s="212"/>
      <c r="EL22" s="212"/>
      <c r="EM22" s="212"/>
      <c r="EN22" s="212"/>
      <c r="EO22" s="211"/>
      <c r="EP22" s="211"/>
      <c r="EQ22" s="211"/>
      <c r="ER22" s="211"/>
      <c r="ES22" s="211"/>
      <c r="ET22" s="211"/>
      <c r="EU22" s="211"/>
      <c r="EV22" s="211"/>
      <c r="EW22" s="211"/>
      <c r="EX22" s="211"/>
      <c r="EY22" s="211"/>
      <c r="EZ22" s="211"/>
      <c r="FA22" s="211"/>
      <c r="FB22" s="211"/>
      <c r="FC22" s="211"/>
      <c r="FD22" s="211"/>
      <c r="FE22" s="211"/>
      <c r="FF22" s="211"/>
      <c r="FG22" s="211"/>
      <c r="FH22" s="211"/>
      <c r="FI22" s="211"/>
      <c r="FJ22" s="211"/>
      <c r="FK22" s="211"/>
      <c r="FL22" s="211"/>
      <c r="FM22" s="211"/>
      <c r="FN22" s="211"/>
      <c r="FO22" s="211"/>
      <c r="FP22" s="211"/>
      <c r="FQ22" s="211"/>
      <c r="FR22" s="211"/>
      <c r="FS22" s="211"/>
      <c r="FT22" s="211"/>
      <c r="FU22" s="211"/>
      <c r="FV22" s="211"/>
      <c r="FW22" s="211"/>
      <c r="FX22" s="211"/>
      <c r="FY22" s="211"/>
      <c r="FZ22" s="211"/>
      <c r="GA22" s="211"/>
      <c r="GB22" s="211"/>
      <c r="GC22" s="211"/>
      <c r="GD22" s="211"/>
      <c r="GE22" s="211"/>
      <c r="GF22" s="211"/>
      <c r="GG22" s="211"/>
      <c r="GH22" s="211"/>
      <c r="GI22" s="211"/>
      <c r="GJ22" s="211"/>
      <c r="GK22" s="211"/>
      <c r="GL22" s="211"/>
      <c r="GM22" s="211"/>
      <c r="GN22" s="211"/>
      <c r="GO22" s="211"/>
      <c r="GP22" s="211"/>
      <c r="GQ22" s="211"/>
      <c r="GR22" s="211"/>
      <c r="GS22" s="211"/>
      <c r="GT22" s="211"/>
      <c r="GU22" s="211"/>
      <c r="GV22" s="211"/>
      <c r="GW22" s="211"/>
      <c r="GX22" s="211"/>
      <c r="GY22" s="211"/>
      <c r="GZ22" s="211"/>
      <c r="HA22" s="211"/>
      <c r="HB22" s="211"/>
      <c r="HC22" s="211"/>
      <c r="HD22" s="211"/>
      <c r="HE22" s="211"/>
      <c r="HF22" s="211"/>
    </row>
    <row r="23" spans="1:214" ht="22.5" customHeight="1">
      <c r="A23" s="220"/>
      <c r="B23" s="223" t="s">
        <v>2913</v>
      </c>
      <c r="C23" s="224"/>
      <c r="D23" s="36" t="s">
        <v>2914</v>
      </c>
      <c r="E23" s="36"/>
      <c r="F23" s="211"/>
      <c r="G23" s="211"/>
      <c r="H23" s="212"/>
      <c r="I23" s="36"/>
      <c r="J23" s="210">
        <v>1</v>
      </c>
      <c r="K23" s="210"/>
      <c r="L23" s="210"/>
      <c r="M23" s="226">
        <v>1</v>
      </c>
      <c r="N23" s="210"/>
      <c r="O23" s="210"/>
      <c r="P23" s="210"/>
      <c r="Q23" s="210"/>
      <c r="R23" s="226">
        <v>1</v>
      </c>
      <c r="S23" s="226">
        <v>1</v>
      </c>
      <c r="T23" s="210"/>
      <c r="U23" s="210"/>
      <c r="V23" s="210"/>
      <c r="W23" s="210"/>
      <c r="X23" s="226">
        <v>1</v>
      </c>
      <c r="Y23" s="210"/>
      <c r="Z23" s="210"/>
      <c r="AA23" s="210"/>
      <c r="AB23" s="210"/>
      <c r="AC23" s="210"/>
      <c r="AD23" s="210"/>
      <c r="AE23" s="210"/>
      <c r="AF23" s="210"/>
      <c r="AG23" s="210"/>
      <c r="AH23" s="210"/>
      <c r="AI23" s="210"/>
      <c r="AJ23" s="210"/>
      <c r="AK23" s="210"/>
      <c r="AL23" s="210"/>
      <c r="AM23" s="210"/>
      <c r="AN23" s="272"/>
      <c r="AO23" s="29"/>
      <c r="AP23" s="29"/>
      <c r="AQ23" s="29"/>
      <c r="AR23" s="29"/>
      <c r="AS23" s="29"/>
      <c r="AT23" s="29"/>
      <c r="AU23" s="29"/>
      <c r="AV23" s="29"/>
      <c r="AW23" s="29"/>
      <c r="AX23" s="29"/>
      <c r="AY23" s="29"/>
      <c r="AZ23" s="29"/>
      <c r="BA23" s="29"/>
      <c r="BB23" s="29"/>
      <c r="BC23" s="29"/>
      <c r="BD23" s="269"/>
      <c r="BE23" s="269"/>
      <c r="BF23" s="269"/>
      <c r="BG23" s="269"/>
      <c r="BH23" s="269"/>
      <c r="BI23" s="269"/>
      <c r="BJ23" s="269"/>
      <c r="BK23" s="269"/>
      <c r="BL23" s="269"/>
      <c r="BM23" s="269"/>
      <c r="BN23" s="269"/>
      <c r="BO23" s="269"/>
      <c r="BP23" s="269"/>
      <c r="BQ23" s="269"/>
      <c r="BR23" s="269"/>
      <c r="BS23" s="269"/>
      <c r="BT23" s="269"/>
      <c r="BU23" s="269"/>
      <c r="BV23" s="269"/>
      <c r="BW23" s="269"/>
      <c r="BX23" s="269"/>
      <c r="BY23" s="269"/>
      <c r="BZ23" s="269"/>
      <c r="CA23" s="269"/>
      <c r="CB23" s="269"/>
      <c r="CC23" s="269"/>
      <c r="CD23" s="269"/>
      <c r="CE23" s="269"/>
      <c r="CF23" s="269"/>
      <c r="CG23" s="269"/>
      <c r="CH23" s="269"/>
      <c r="CI23" s="269"/>
      <c r="CJ23" s="211"/>
      <c r="CK23" s="211"/>
      <c r="CL23" s="211"/>
      <c r="CM23" s="211"/>
      <c r="CN23" s="211"/>
      <c r="CO23" s="211"/>
      <c r="CP23" s="211"/>
      <c r="CQ23" s="211"/>
      <c r="CR23" s="214"/>
      <c r="CS23" s="214"/>
      <c r="CT23" s="211"/>
      <c r="CU23" s="211"/>
      <c r="CV23" s="211"/>
      <c r="CW23" s="211"/>
      <c r="CX23" s="211"/>
      <c r="CY23" s="211"/>
      <c r="CZ23" s="211"/>
      <c r="DA23" s="211"/>
      <c r="DB23" s="211"/>
      <c r="DC23" s="211"/>
      <c r="DD23" s="211"/>
      <c r="DE23" s="211"/>
      <c r="DF23" s="211"/>
      <c r="DG23" s="211"/>
      <c r="DH23" s="211"/>
      <c r="DI23" s="211"/>
      <c r="DJ23" s="211"/>
      <c r="DK23" s="211"/>
      <c r="DL23" s="212"/>
      <c r="DM23" s="212"/>
      <c r="DN23" s="210"/>
      <c r="DO23" s="210"/>
      <c r="DP23" s="211"/>
      <c r="DQ23" s="29"/>
      <c r="DR23" s="29"/>
      <c r="DS23" s="29"/>
      <c r="DT23" s="29"/>
      <c r="DU23" s="211"/>
      <c r="DV23" s="211"/>
      <c r="DW23" s="214"/>
      <c r="DX23" s="214"/>
      <c r="DY23" s="211"/>
      <c r="DZ23" s="211"/>
      <c r="EA23" s="211"/>
      <c r="EB23" s="211"/>
      <c r="EC23" s="211"/>
      <c r="ED23" s="211"/>
      <c r="EE23" s="211"/>
      <c r="EF23" s="211"/>
      <c r="EG23" s="211"/>
      <c r="EH23" s="211"/>
      <c r="EI23" s="212"/>
      <c r="EJ23" s="212"/>
      <c r="EK23" s="212"/>
      <c r="EL23" s="212"/>
      <c r="EM23" s="212"/>
      <c r="EN23" s="212"/>
      <c r="EO23" s="211"/>
      <c r="EP23" s="211"/>
      <c r="EQ23" s="211"/>
      <c r="ER23" s="211"/>
      <c r="ES23" s="211"/>
      <c r="ET23" s="211"/>
      <c r="EU23" s="211"/>
      <c r="EV23" s="211"/>
      <c r="EW23" s="211"/>
      <c r="EX23" s="211"/>
      <c r="EY23" s="211"/>
      <c r="EZ23" s="211"/>
      <c r="FA23" s="211"/>
      <c r="FB23" s="211"/>
      <c r="FC23" s="211"/>
      <c r="FD23" s="211"/>
      <c r="FE23" s="211"/>
      <c r="FF23" s="211"/>
      <c r="FG23" s="211"/>
      <c r="FH23" s="211"/>
      <c r="FI23" s="211"/>
      <c r="FJ23" s="211"/>
      <c r="FK23" s="211"/>
      <c r="FL23" s="211"/>
      <c r="FM23" s="211"/>
      <c r="FN23" s="211"/>
      <c r="FO23" s="211"/>
      <c r="FP23" s="211"/>
      <c r="FQ23" s="211"/>
      <c r="FR23" s="211"/>
      <c r="FS23" s="211"/>
      <c r="FT23" s="211"/>
      <c r="FU23" s="211"/>
      <c r="FV23" s="211"/>
      <c r="FW23" s="211"/>
      <c r="FX23" s="211"/>
      <c r="FY23" s="211"/>
      <c r="FZ23" s="211"/>
      <c r="GA23" s="211"/>
      <c r="GB23" s="211"/>
      <c r="GC23" s="211"/>
      <c r="GD23" s="211"/>
      <c r="GE23" s="211"/>
      <c r="GF23" s="211"/>
      <c r="GG23" s="211"/>
      <c r="GH23" s="211"/>
      <c r="GI23" s="211"/>
      <c r="GJ23" s="211"/>
      <c r="GK23" s="211"/>
      <c r="GL23" s="211"/>
      <c r="GM23" s="211"/>
      <c r="GN23" s="211"/>
      <c r="GO23" s="211"/>
      <c r="GP23" s="211"/>
      <c r="GQ23" s="211"/>
      <c r="GR23" s="211"/>
      <c r="GS23" s="211"/>
      <c r="GT23" s="211"/>
      <c r="GU23" s="211"/>
      <c r="GV23" s="211"/>
      <c r="GW23" s="211"/>
      <c r="GX23" s="211"/>
      <c r="GY23" s="211"/>
      <c r="GZ23" s="211"/>
      <c r="HA23" s="211"/>
      <c r="HB23" s="211"/>
      <c r="HC23" s="211"/>
      <c r="HD23" s="211"/>
      <c r="HE23" s="211"/>
      <c r="HF23" s="211"/>
    </row>
    <row r="24" spans="1:214" ht="22.5" customHeight="1">
      <c r="A24" s="220"/>
      <c r="B24" s="223" t="s">
        <v>228</v>
      </c>
      <c r="C24" s="224"/>
      <c r="D24" s="36" t="s">
        <v>228</v>
      </c>
      <c r="E24" s="36"/>
      <c r="F24" s="211"/>
      <c r="G24" s="211"/>
      <c r="H24" s="212"/>
      <c r="I24" s="36"/>
      <c r="J24" s="210">
        <v>1</v>
      </c>
      <c r="K24" s="210"/>
      <c r="L24" s="210"/>
      <c r="M24" s="210"/>
      <c r="N24" s="226">
        <v>1</v>
      </c>
      <c r="O24" s="210"/>
      <c r="P24" s="210"/>
      <c r="Q24" s="210"/>
      <c r="R24" s="226">
        <v>1</v>
      </c>
      <c r="S24" s="226">
        <v>1</v>
      </c>
      <c r="T24" s="210"/>
      <c r="U24" s="210"/>
      <c r="V24" s="210"/>
      <c r="W24" s="210"/>
      <c r="X24" s="226">
        <v>1</v>
      </c>
      <c r="Y24" s="210"/>
      <c r="Z24" s="210"/>
      <c r="AA24" s="210"/>
      <c r="AB24" s="210"/>
      <c r="AC24" s="210"/>
      <c r="AD24" s="210"/>
      <c r="AE24" s="210"/>
      <c r="AF24" s="210"/>
      <c r="AG24" s="210"/>
      <c r="AH24" s="210"/>
      <c r="AI24" s="210"/>
      <c r="AJ24" s="210"/>
      <c r="AK24" s="210"/>
      <c r="AL24" s="210"/>
      <c r="AM24" s="210"/>
      <c r="AN24" s="272"/>
      <c r="AO24" s="29"/>
      <c r="AP24" s="29"/>
      <c r="AQ24" s="29"/>
      <c r="AR24" s="29"/>
      <c r="AS24" s="29"/>
      <c r="AT24" s="29"/>
      <c r="AU24" s="29"/>
      <c r="AV24" s="29"/>
      <c r="AW24" s="29"/>
      <c r="AX24" s="29"/>
      <c r="AY24" s="29"/>
      <c r="AZ24" s="29"/>
      <c r="BA24" s="29"/>
      <c r="BB24" s="29"/>
      <c r="BC24" s="29"/>
      <c r="BD24" s="269"/>
      <c r="BE24" s="269"/>
      <c r="BF24" s="269"/>
      <c r="BG24" s="269"/>
      <c r="BH24" s="269"/>
      <c r="BI24" s="269"/>
      <c r="BJ24" s="269"/>
      <c r="BK24" s="269"/>
      <c r="BL24" s="269"/>
      <c r="BM24" s="269"/>
      <c r="BN24" s="269"/>
      <c r="BO24" s="269"/>
      <c r="BP24" s="269"/>
      <c r="BQ24" s="269"/>
      <c r="BR24" s="269"/>
      <c r="BS24" s="269"/>
      <c r="BT24" s="269"/>
      <c r="BU24" s="269"/>
      <c r="BV24" s="269"/>
      <c r="BW24" s="269"/>
      <c r="BX24" s="269"/>
      <c r="BY24" s="269"/>
      <c r="BZ24" s="269"/>
      <c r="CA24" s="269"/>
      <c r="CB24" s="269"/>
      <c r="CC24" s="269"/>
      <c r="CD24" s="269"/>
      <c r="CE24" s="269"/>
      <c r="CF24" s="269"/>
      <c r="CG24" s="269"/>
      <c r="CH24" s="269"/>
      <c r="CI24" s="269"/>
      <c r="CJ24" s="211"/>
      <c r="CK24" s="211"/>
      <c r="CL24" s="211"/>
      <c r="CM24" s="211"/>
      <c r="CN24" s="211"/>
      <c r="CO24" s="211"/>
      <c r="CP24" s="211"/>
      <c r="CQ24" s="211"/>
      <c r="CR24" s="214"/>
      <c r="CS24" s="214"/>
      <c r="CT24" s="211"/>
      <c r="CU24" s="211"/>
      <c r="CV24" s="211"/>
      <c r="CW24" s="211"/>
      <c r="CX24" s="211"/>
      <c r="CY24" s="211"/>
      <c r="CZ24" s="211"/>
      <c r="DA24" s="211"/>
      <c r="DB24" s="211"/>
      <c r="DC24" s="211"/>
      <c r="DD24" s="211"/>
      <c r="DE24" s="211"/>
      <c r="DF24" s="211"/>
      <c r="DG24" s="211"/>
      <c r="DH24" s="211"/>
      <c r="DI24" s="211"/>
      <c r="DJ24" s="211"/>
      <c r="DK24" s="211"/>
      <c r="DL24" s="212"/>
      <c r="DM24" s="212"/>
      <c r="DN24" s="210"/>
      <c r="DO24" s="210"/>
      <c r="DP24" s="211"/>
      <c r="DQ24" s="29"/>
      <c r="DR24" s="29"/>
      <c r="DS24" s="29"/>
      <c r="DT24" s="29"/>
      <c r="DU24" s="211"/>
      <c r="DV24" s="211"/>
      <c r="DW24" s="214"/>
      <c r="DX24" s="214"/>
      <c r="DY24" s="211"/>
      <c r="DZ24" s="211"/>
      <c r="EA24" s="211"/>
      <c r="EB24" s="211"/>
      <c r="EC24" s="211"/>
      <c r="ED24" s="211"/>
      <c r="EE24" s="211"/>
      <c r="EF24" s="211"/>
      <c r="EG24" s="211"/>
      <c r="EH24" s="211"/>
      <c r="EI24" s="212"/>
      <c r="EJ24" s="212"/>
      <c r="EK24" s="212"/>
      <c r="EL24" s="212"/>
      <c r="EM24" s="212"/>
      <c r="EN24" s="212"/>
      <c r="EO24" s="211"/>
      <c r="EP24" s="211"/>
      <c r="EQ24" s="211"/>
      <c r="ER24" s="211"/>
      <c r="ES24" s="211"/>
      <c r="ET24" s="211"/>
      <c r="EU24" s="211"/>
      <c r="EV24" s="211"/>
      <c r="EW24" s="211"/>
      <c r="EX24" s="211"/>
      <c r="EY24" s="211"/>
      <c r="EZ24" s="211"/>
      <c r="FA24" s="211"/>
      <c r="FB24" s="211"/>
      <c r="FC24" s="211"/>
      <c r="FD24" s="211"/>
      <c r="FE24" s="211"/>
      <c r="FF24" s="211"/>
      <c r="FG24" s="211"/>
      <c r="FH24" s="211"/>
      <c r="FI24" s="211"/>
      <c r="FJ24" s="211"/>
      <c r="FK24" s="211"/>
      <c r="FL24" s="211"/>
      <c r="FM24" s="211"/>
      <c r="FN24" s="211"/>
      <c r="FO24" s="211"/>
      <c r="FP24" s="211"/>
      <c r="FQ24" s="211"/>
      <c r="FR24" s="211"/>
      <c r="FS24" s="211"/>
      <c r="FT24" s="211"/>
      <c r="FU24" s="211"/>
      <c r="FV24" s="211"/>
      <c r="FW24" s="211"/>
      <c r="FX24" s="211"/>
      <c r="FY24" s="211"/>
      <c r="FZ24" s="211"/>
      <c r="GA24" s="211"/>
      <c r="GB24" s="211"/>
      <c r="GC24" s="211"/>
      <c r="GD24" s="211"/>
      <c r="GE24" s="211"/>
      <c r="GF24" s="211"/>
      <c r="GG24" s="211"/>
      <c r="GH24" s="211"/>
      <c r="GI24" s="211"/>
      <c r="GJ24" s="211"/>
      <c r="GK24" s="211"/>
      <c r="GL24" s="211"/>
      <c r="GM24" s="211"/>
      <c r="GN24" s="211"/>
      <c r="GO24" s="211"/>
      <c r="GP24" s="211"/>
      <c r="GQ24" s="211"/>
      <c r="GR24" s="211"/>
      <c r="GS24" s="211"/>
      <c r="GT24" s="211"/>
      <c r="GU24" s="211"/>
      <c r="GV24" s="211"/>
      <c r="GW24" s="211"/>
      <c r="GX24" s="211"/>
      <c r="GY24" s="211"/>
      <c r="GZ24" s="211"/>
      <c r="HA24" s="211"/>
      <c r="HB24" s="211"/>
      <c r="HC24" s="211"/>
      <c r="HD24" s="211"/>
      <c r="HE24" s="211"/>
      <c r="HF24" s="211"/>
    </row>
    <row r="25" spans="1:214" ht="22.5" customHeight="1">
      <c r="A25" s="220"/>
      <c r="B25" s="223" t="s">
        <v>229</v>
      </c>
      <c r="C25" s="224"/>
      <c r="D25" s="36" t="s">
        <v>229</v>
      </c>
      <c r="E25" s="36"/>
      <c r="F25" s="211"/>
      <c r="G25" s="211"/>
      <c r="H25" s="212"/>
      <c r="I25" s="36"/>
      <c r="J25" s="210">
        <v>1</v>
      </c>
      <c r="K25" s="210"/>
      <c r="L25" s="210"/>
      <c r="M25" s="210"/>
      <c r="N25" s="210"/>
      <c r="O25" s="226">
        <v>1</v>
      </c>
      <c r="P25" s="210"/>
      <c r="Q25" s="210"/>
      <c r="R25" s="226">
        <v>1</v>
      </c>
      <c r="S25" s="226">
        <v>1</v>
      </c>
      <c r="T25" s="210"/>
      <c r="U25" s="210"/>
      <c r="V25" s="210"/>
      <c r="W25" s="210"/>
      <c r="X25" s="226">
        <v>1</v>
      </c>
      <c r="Y25" s="210"/>
      <c r="Z25" s="210"/>
      <c r="AA25" s="210"/>
      <c r="AB25" s="210"/>
      <c r="AC25" s="210"/>
      <c r="AD25" s="210"/>
      <c r="AE25" s="210"/>
      <c r="AF25" s="210"/>
      <c r="AG25" s="210"/>
      <c r="AH25" s="210"/>
      <c r="AI25" s="210"/>
      <c r="AJ25" s="210"/>
      <c r="AK25" s="210"/>
      <c r="AL25" s="210"/>
      <c r="AM25" s="210"/>
      <c r="AN25" s="272"/>
      <c r="AO25" s="29"/>
      <c r="AP25" s="29"/>
      <c r="AQ25" s="29"/>
      <c r="AR25" s="29"/>
      <c r="AS25" s="29"/>
      <c r="AT25" s="29"/>
      <c r="AU25" s="29"/>
      <c r="AV25" s="29"/>
      <c r="AW25" s="29"/>
      <c r="AX25" s="29"/>
      <c r="AY25" s="29"/>
      <c r="AZ25" s="29"/>
      <c r="BA25" s="29"/>
      <c r="BB25" s="29"/>
      <c r="BC25" s="29"/>
      <c r="BD25" s="269"/>
      <c r="BE25" s="269"/>
      <c r="BF25" s="269"/>
      <c r="BG25" s="269"/>
      <c r="BH25" s="269"/>
      <c r="BI25" s="269"/>
      <c r="BJ25" s="269"/>
      <c r="BK25" s="269"/>
      <c r="BL25" s="269"/>
      <c r="BM25" s="269"/>
      <c r="BN25" s="269"/>
      <c r="BO25" s="269"/>
      <c r="BP25" s="269"/>
      <c r="BQ25" s="269"/>
      <c r="BR25" s="269"/>
      <c r="BS25" s="269"/>
      <c r="BT25" s="269"/>
      <c r="BU25" s="269"/>
      <c r="BV25" s="269"/>
      <c r="BW25" s="269"/>
      <c r="BX25" s="269"/>
      <c r="BY25" s="269"/>
      <c r="BZ25" s="269"/>
      <c r="CA25" s="269"/>
      <c r="CB25" s="269"/>
      <c r="CC25" s="269"/>
      <c r="CD25" s="269"/>
      <c r="CE25" s="269"/>
      <c r="CF25" s="269"/>
      <c r="CG25" s="269"/>
      <c r="CH25" s="269"/>
      <c r="CI25" s="269"/>
      <c r="CJ25" s="211"/>
      <c r="CK25" s="211"/>
      <c r="CL25" s="211"/>
      <c r="CM25" s="211"/>
      <c r="CN25" s="211"/>
      <c r="CO25" s="211"/>
      <c r="CP25" s="211"/>
      <c r="CQ25" s="211"/>
      <c r="CR25" s="214"/>
      <c r="CS25" s="214"/>
      <c r="CT25" s="211"/>
      <c r="CU25" s="211"/>
      <c r="CV25" s="211"/>
      <c r="CW25" s="211"/>
      <c r="CX25" s="211"/>
      <c r="CY25" s="211"/>
      <c r="CZ25" s="211"/>
      <c r="DA25" s="211"/>
      <c r="DB25" s="211"/>
      <c r="DC25" s="211"/>
      <c r="DD25" s="211"/>
      <c r="DE25" s="211"/>
      <c r="DF25" s="211"/>
      <c r="DG25" s="211"/>
      <c r="DH25" s="211"/>
      <c r="DI25" s="211"/>
      <c r="DJ25" s="211"/>
      <c r="DK25" s="211"/>
      <c r="DL25" s="212"/>
      <c r="DM25" s="212"/>
      <c r="DN25" s="210"/>
      <c r="DO25" s="210"/>
      <c r="DP25" s="211"/>
      <c r="DQ25" s="29"/>
      <c r="DR25" s="29"/>
      <c r="DS25" s="29"/>
      <c r="DT25" s="29"/>
      <c r="DU25" s="211"/>
      <c r="DV25" s="211"/>
      <c r="DW25" s="214"/>
      <c r="DX25" s="214"/>
      <c r="DY25" s="211"/>
      <c r="DZ25" s="211"/>
      <c r="EA25" s="211"/>
      <c r="EB25" s="211"/>
      <c r="EC25" s="211"/>
      <c r="ED25" s="211"/>
      <c r="EE25" s="211"/>
      <c r="EF25" s="211"/>
      <c r="EG25" s="211"/>
      <c r="EH25" s="211"/>
      <c r="EI25" s="212"/>
      <c r="EJ25" s="212"/>
      <c r="EK25" s="212"/>
      <c r="EL25" s="212"/>
      <c r="EM25" s="212"/>
      <c r="EN25" s="212"/>
      <c r="EO25" s="211"/>
      <c r="EP25" s="211"/>
      <c r="EQ25" s="211"/>
      <c r="ER25" s="211"/>
      <c r="ES25" s="211"/>
      <c r="ET25" s="211"/>
      <c r="EU25" s="211"/>
      <c r="EV25" s="211"/>
      <c r="EW25" s="211"/>
      <c r="EX25" s="211"/>
      <c r="EY25" s="211"/>
      <c r="EZ25" s="211"/>
      <c r="FA25" s="211"/>
      <c r="FB25" s="211"/>
      <c r="FC25" s="211"/>
      <c r="FD25" s="211"/>
      <c r="FE25" s="211"/>
      <c r="FF25" s="211"/>
      <c r="FG25" s="211"/>
      <c r="FH25" s="211"/>
      <c r="FI25" s="211"/>
      <c r="FJ25" s="211"/>
      <c r="FK25" s="211"/>
      <c r="FL25" s="211"/>
      <c r="FM25" s="211"/>
      <c r="FN25" s="211"/>
      <c r="FO25" s="211"/>
      <c r="FP25" s="211"/>
      <c r="FQ25" s="211"/>
      <c r="FR25" s="211"/>
      <c r="FS25" s="211"/>
      <c r="FT25" s="211"/>
      <c r="FU25" s="211"/>
      <c r="FV25" s="211"/>
      <c r="FW25" s="211"/>
      <c r="FX25" s="211"/>
      <c r="FY25" s="211"/>
      <c r="FZ25" s="211"/>
      <c r="GA25" s="211"/>
      <c r="GB25" s="211"/>
      <c r="GC25" s="211"/>
      <c r="GD25" s="211"/>
      <c r="GE25" s="211"/>
      <c r="GF25" s="211"/>
      <c r="GG25" s="211"/>
      <c r="GH25" s="211"/>
      <c r="GI25" s="211"/>
      <c r="GJ25" s="211"/>
      <c r="GK25" s="211"/>
      <c r="GL25" s="211"/>
      <c r="GM25" s="211"/>
      <c r="GN25" s="211"/>
      <c r="GO25" s="211"/>
      <c r="GP25" s="211"/>
      <c r="GQ25" s="211"/>
      <c r="GR25" s="211"/>
      <c r="GS25" s="211"/>
      <c r="GT25" s="211"/>
      <c r="GU25" s="211"/>
      <c r="GV25" s="211"/>
      <c r="GW25" s="211"/>
      <c r="GX25" s="211"/>
      <c r="GY25" s="211"/>
      <c r="GZ25" s="211"/>
      <c r="HA25" s="211"/>
      <c r="HB25" s="211"/>
      <c r="HC25" s="211"/>
      <c r="HD25" s="211"/>
      <c r="HE25" s="211"/>
      <c r="HF25" s="211"/>
    </row>
    <row r="26" spans="1:214" ht="22.5" customHeight="1">
      <c r="A26" s="220"/>
      <c r="B26" s="223" t="s">
        <v>3323</v>
      </c>
      <c r="C26" s="224"/>
      <c r="D26" s="36" t="s">
        <v>2956</v>
      </c>
      <c r="E26" s="36" t="s">
        <v>2957</v>
      </c>
      <c r="F26" s="211"/>
      <c r="G26" s="211"/>
      <c r="H26" s="212"/>
      <c r="I26" s="36"/>
      <c r="J26" s="210">
        <v>1</v>
      </c>
      <c r="K26" s="210"/>
      <c r="L26" s="210"/>
      <c r="M26" s="226">
        <v>1</v>
      </c>
      <c r="N26" s="210"/>
      <c r="O26" s="210"/>
      <c r="P26" s="210"/>
      <c r="Q26" s="210"/>
      <c r="R26" s="226">
        <v>1</v>
      </c>
      <c r="S26" s="226">
        <v>1</v>
      </c>
      <c r="T26" s="210"/>
      <c r="U26" s="210"/>
      <c r="V26" s="210"/>
      <c r="W26" s="210"/>
      <c r="X26" s="226">
        <v>1</v>
      </c>
      <c r="Y26" s="210"/>
      <c r="Z26" s="210"/>
      <c r="AA26" s="210"/>
      <c r="AB26" s="210"/>
      <c r="AC26" s="210"/>
      <c r="AD26" s="210"/>
      <c r="AE26" s="210"/>
      <c r="AF26" s="210"/>
      <c r="AG26" s="210"/>
      <c r="AH26" s="210"/>
      <c r="AI26" s="210"/>
      <c r="AJ26" s="210"/>
      <c r="AK26" s="210"/>
      <c r="AL26" s="210"/>
      <c r="AM26" s="210"/>
      <c r="AN26" s="272"/>
      <c r="AO26" s="29"/>
      <c r="AP26" s="29"/>
      <c r="AQ26" s="29"/>
      <c r="AR26" s="29"/>
      <c r="AS26" s="29"/>
      <c r="AT26" s="29"/>
      <c r="AU26" s="29"/>
      <c r="AV26" s="29"/>
      <c r="AW26" s="29"/>
      <c r="AX26" s="29"/>
      <c r="AY26" s="29"/>
      <c r="AZ26" s="29"/>
      <c r="BA26" s="29"/>
      <c r="BB26" s="29"/>
      <c r="BC26" s="29"/>
      <c r="BD26" s="269"/>
      <c r="BE26" s="269"/>
      <c r="BF26" s="269"/>
      <c r="BG26" s="269"/>
      <c r="BH26" s="269"/>
      <c r="BI26" s="269"/>
      <c r="BJ26" s="269"/>
      <c r="BK26" s="269"/>
      <c r="BL26" s="269"/>
      <c r="BM26" s="269"/>
      <c r="BN26" s="269"/>
      <c r="BO26" s="269"/>
      <c r="BP26" s="269"/>
      <c r="BQ26" s="269"/>
      <c r="BR26" s="269"/>
      <c r="BS26" s="269"/>
      <c r="BT26" s="269"/>
      <c r="BU26" s="269"/>
      <c r="BV26" s="269"/>
      <c r="BW26" s="269"/>
      <c r="BX26" s="269"/>
      <c r="BY26" s="269"/>
      <c r="BZ26" s="269"/>
      <c r="CA26" s="269"/>
      <c r="CB26" s="269"/>
      <c r="CC26" s="269"/>
      <c r="CD26" s="269"/>
      <c r="CE26" s="269"/>
      <c r="CF26" s="269"/>
      <c r="CG26" s="269"/>
      <c r="CH26" s="269"/>
      <c r="CI26" s="269"/>
      <c r="CJ26" s="211"/>
      <c r="CK26" s="211"/>
      <c r="CL26" s="211"/>
      <c r="CM26" s="211"/>
      <c r="CN26" s="211"/>
      <c r="CO26" s="211"/>
      <c r="CP26" s="211"/>
      <c r="CQ26" s="211"/>
      <c r="CR26" s="214"/>
      <c r="CS26" s="214"/>
      <c r="CT26" s="211"/>
      <c r="CU26" s="211"/>
      <c r="CV26" s="211"/>
      <c r="CW26" s="211"/>
      <c r="CX26" s="211"/>
      <c r="CY26" s="211"/>
      <c r="CZ26" s="211"/>
      <c r="DA26" s="211"/>
      <c r="DB26" s="211"/>
      <c r="DC26" s="211"/>
      <c r="DD26" s="211"/>
      <c r="DE26" s="211"/>
      <c r="DF26" s="211"/>
      <c r="DG26" s="211"/>
      <c r="DH26" s="211"/>
      <c r="DI26" s="211"/>
      <c r="DJ26" s="211"/>
      <c r="DK26" s="211"/>
      <c r="DL26" s="212"/>
      <c r="DM26" s="212"/>
      <c r="DN26" s="210"/>
      <c r="DO26" s="210"/>
      <c r="DP26" s="211"/>
      <c r="DQ26" s="29"/>
      <c r="DR26" s="29"/>
      <c r="DS26" s="29"/>
      <c r="DT26" s="29"/>
      <c r="DU26" s="211"/>
      <c r="DV26" s="211"/>
      <c r="DW26" s="214"/>
      <c r="DX26" s="214"/>
      <c r="DY26" s="211"/>
      <c r="DZ26" s="211"/>
      <c r="EA26" s="211"/>
      <c r="EB26" s="211"/>
      <c r="EC26" s="211"/>
      <c r="ED26" s="211"/>
      <c r="EE26" s="211"/>
      <c r="EF26" s="211"/>
      <c r="EG26" s="211"/>
      <c r="EH26" s="211"/>
      <c r="EI26" s="212"/>
      <c r="EJ26" s="212"/>
      <c r="EK26" s="212"/>
      <c r="EL26" s="212"/>
      <c r="EM26" s="212"/>
      <c r="EN26" s="212"/>
      <c r="EO26" s="211"/>
      <c r="EP26" s="211"/>
      <c r="EQ26" s="211"/>
      <c r="ER26" s="211"/>
      <c r="ES26" s="211"/>
      <c r="ET26" s="211"/>
      <c r="EU26" s="211"/>
      <c r="EV26" s="211"/>
      <c r="EW26" s="211"/>
      <c r="EX26" s="211"/>
      <c r="EY26" s="211"/>
      <c r="EZ26" s="211"/>
      <c r="FA26" s="211"/>
      <c r="FB26" s="211"/>
      <c r="FC26" s="211"/>
      <c r="FD26" s="211"/>
      <c r="FE26" s="211"/>
      <c r="FF26" s="211"/>
      <c r="FG26" s="211"/>
      <c r="FH26" s="211"/>
      <c r="FI26" s="211"/>
      <c r="FJ26" s="211"/>
      <c r="FK26" s="211"/>
      <c r="FL26" s="211"/>
      <c r="FM26" s="211"/>
      <c r="FN26" s="211"/>
      <c r="FO26" s="211"/>
      <c r="FP26" s="211"/>
      <c r="FQ26" s="211"/>
      <c r="FR26" s="211"/>
      <c r="FS26" s="211"/>
      <c r="FT26" s="211"/>
      <c r="FU26" s="211"/>
      <c r="FV26" s="211"/>
      <c r="FW26" s="211"/>
      <c r="FX26" s="211"/>
      <c r="FY26" s="211"/>
      <c r="FZ26" s="211"/>
      <c r="GA26" s="211"/>
      <c r="GB26" s="211"/>
      <c r="GC26" s="211"/>
      <c r="GD26" s="211"/>
      <c r="GE26" s="211"/>
      <c r="GF26" s="211"/>
      <c r="GG26" s="211"/>
      <c r="GH26" s="211"/>
      <c r="GI26" s="211"/>
      <c r="GJ26" s="211"/>
      <c r="GK26" s="211"/>
      <c r="GL26" s="211"/>
      <c r="GM26" s="211"/>
      <c r="GN26" s="211"/>
      <c r="GO26" s="211"/>
      <c r="GP26" s="211"/>
      <c r="GQ26" s="211"/>
      <c r="GR26" s="211"/>
      <c r="GS26" s="211"/>
      <c r="GT26" s="211"/>
      <c r="GU26" s="211"/>
      <c r="GV26" s="211"/>
      <c r="GW26" s="211"/>
      <c r="GX26" s="211"/>
      <c r="GY26" s="211"/>
      <c r="GZ26" s="211"/>
      <c r="HA26" s="211"/>
      <c r="HB26" s="211"/>
      <c r="HC26" s="211"/>
      <c r="HD26" s="211"/>
      <c r="HE26" s="211"/>
      <c r="HF26" s="211"/>
    </row>
    <row r="27" spans="1:214" ht="22.5" customHeight="1">
      <c r="A27" s="220"/>
      <c r="B27" s="223" t="s">
        <v>3336</v>
      </c>
      <c r="C27" s="224"/>
      <c r="D27" s="36" t="s">
        <v>2368</v>
      </c>
      <c r="E27" s="36" t="s">
        <v>2957</v>
      </c>
      <c r="F27" s="211"/>
      <c r="G27" s="211"/>
      <c r="H27" s="212"/>
      <c r="I27" s="36"/>
      <c r="J27" s="210">
        <v>1</v>
      </c>
      <c r="K27" s="210"/>
      <c r="L27" s="210"/>
      <c r="M27" s="226">
        <v>1</v>
      </c>
      <c r="N27" s="210"/>
      <c r="O27" s="210"/>
      <c r="P27" s="210"/>
      <c r="Q27" s="210"/>
      <c r="R27" s="226">
        <v>1</v>
      </c>
      <c r="S27" s="226">
        <v>1</v>
      </c>
      <c r="T27" s="210"/>
      <c r="U27" s="210"/>
      <c r="V27" s="210"/>
      <c r="W27" s="210"/>
      <c r="X27" s="226">
        <v>1</v>
      </c>
      <c r="Y27" s="210"/>
      <c r="Z27" s="210"/>
      <c r="AA27" s="210"/>
      <c r="AB27" s="210"/>
      <c r="AC27" s="210"/>
      <c r="AD27" s="210"/>
      <c r="AE27" s="210"/>
      <c r="AF27" s="210"/>
      <c r="AG27" s="210"/>
      <c r="AH27" s="210"/>
      <c r="AI27" s="210"/>
      <c r="AJ27" s="210"/>
      <c r="AK27" s="210"/>
      <c r="AL27" s="210"/>
      <c r="AM27" s="210"/>
      <c r="AN27" s="272"/>
      <c r="AO27" s="29"/>
      <c r="AP27" s="29"/>
      <c r="AQ27" s="29"/>
      <c r="AR27" s="29"/>
      <c r="AS27" s="29"/>
      <c r="AT27" s="29"/>
      <c r="AU27" s="29"/>
      <c r="AV27" s="29"/>
      <c r="AW27" s="29"/>
      <c r="AX27" s="29"/>
      <c r="AY27" s="29"/>
      <c r="AZ27" s="29"/>
      <c r="BA27" s="29"/>
      <c r="BB27" s="29"/>
      <c r="BC27" s="29"/>
      <c r="BD27" s="269"/>
      <c r="BE27" s="269"/>
      <c r="BF27" s="269"/>
      <c r="BG27" s="269"/>
      <c r="BH27" s="269"/>
      <c r="BI27" s="269"/>
      <c r="BJ27" s="269"/>
      <c r="BK27" s="269"/>
      <c r="BL27" s="269"/>
      <c r="BM27" s="269"/>
      <c r="BN27" s="269"/>
      <c r="BO27" s="269"/>
      <c r="BP27" s="269"/>
      <c r="BQ27" s="269"/>
      <c r="BR27" s="269"/>
      <c r="BS27" s="269"/>
      <c r="BT27" s="269"/>
      <c r="BU27" s="269"/>
      <c r="BV27" s="269"/>
      <c r="BW27" s="269"/>
      <c r="BX27" s="269"/>
      <c r="BY27" s="269"/>
      <c r="BZ27" s="269"/>
      <c r="CA27" s="269"/>
      <c r="CB27" s="269"/>
      <c r="CC27" s="269"/>
      <c r="CD27" s="269"/>
      <c r="CE27" s="269"/>
      <c r="CF27" s="269"/>
      <c r="CG27" s="269"/>
      <c r="CH27" s="269"/>
      <c r="CI27" s="269"/>
      <c r="CJ27" s="211"/>
      <c r="CK27" s="211"/>
      <c r="CL27" s="211"/>
      <c r="CM27" s="211"/>
      <c r="CN27" s="211"/>
      <c r="CO27" s="211"/>
      <c r="CP27" s="211"/>
      <c r="CQ27" s="211"/>
      <c r="CR27" s="214"/>
      <c r="CS27" s="214"/>
      <c r="CT27" s="211"/>
      <c r="CU27" s="211"/>
      <c r="CV27" s="211"/>
      <c r="CW27" s="211"/>
      <c r="CX27" s="211"/>
      <c r="CY27" s="211"/>
      <c r="CZ27" s="211"/>
      <c r="DA27" s="211"/>
      <c r="DB27" s="211"/>
      <c r="DC27" s="211"/>
      <c r="DD27" s="211"/>
      <c r="DE27" s="211"/>
      <c r="DF27" s="211"/>
      <c r="DG27" s="211"/>
      <c r="DH27" s="211"/>
      <c r="DI27" s="211"/>
      <c r="DJ27" s="211"/>
      <c r="DK27" s="211"/>
      <c r="DL27" s="212"/>
      <c r="DM27" s="212"/>
      <c r="DN27" s="210"/>
      <c r="DO27" s="210"/>
      <c r="DP27" s="211"/>
      <c r="DQ27" s="29"/>
      <c r="DR27" s="29"/>
      <c r="DS27" s="29"/>
      <c r="DT27" s="29"/>
      <c r="DU27" s="211"/>
      <c r="DV27" s="211"/>
      <c r="DW27" s="214"/>
      <c r="DX27" s="214"/>
      <c r="DY27" s="211"/>
      <c r="DZ27" s="211"/>
      <c r="EA27" s="211"/>
      <c r="EB27" s="211"/>
      <c r="EC27" s="211"/>
      <c r="ED27" s="211"/>
      <c r="EE27" s="211"/>
      <c r="EF27" s="211"/>
      <c r="EG27" s="211"/>
      <c r="EH27" s="211"/>
      <c r="EI27" s="212"/>
      <c r="EJ27" s="212"/>
      <c r="EK27" s="212"/>
      <c r="EL27" s="212"/>
      <c r="EM27" s="212"/>
      <c r="EN27" s="212"/>
      <c r="EO27" s="211"/>
      <c r="EP27" s="211"/>
      <c r="EQ27" s="211"/>
      <c r="ER27" s="211"/>
      <c r="ES27" s="211"/>
      <c r="ET27" s="211"/>
      <c r="EU27" s="211"/>
      <c r="EV27" s="211"/>
      <c r="EW27" s="211"/>
      <c r="EX27" s="211"/>
      <c r="EY27" s="211"/>
      <c r="EZ27" s="211"/>
      <c r="FA27" s="211"/>
      <c r="FB27" s="211"/>
      <c r="FC27" s="211"/>
      <c r="FD27" s="211"/>
      <c r="FE27" s="211"/>
      <c r="FF27" s="211"/>
      <c r="FG27" s="211"/>
      <c r="FH27" s="211"/>
      <c r="FI27" s="211"/>
      <c r="FJ27" s="211"/>
      <c r="FK27" s="211"/>
      <c r="FL27" s="211"/>
      <c r="FM27" s="211"/>
      <c r="FN27" s="211"/>
      <c r="FO27" s="211"/>
      <c r="FP27" s="211"/>
      <c r="FQ27" s="211"/>
      <c r="FR27" s="211"/>
      <c r="FS27" s="211"/>
      <c r="FT27" s="211"/>
      <c r="FU27" s="211"/>
      <c r="FV27" s="211"/>
      <c r="FW27" s="211"/>
      <c r="FX27" s="211"/>
      <c r="FY27" s="211"/>
      <c r="FZ27" s="211"/>
      <c r="GA27" s="211"/>
      <c r="GB27" s="211"/>
      <c r="GC27" s="211"/>
      <c r="GD27" s="211"/>
      <c r="GE27" s="211"/>
      <c r="GF27" s="211"/>
      <c r="GG27" s="211"/>
      <c r="GH27" s="211"/>
      <c r="GI27" s="211"/>
      <c r="GJ27" s="211"/>
      <c r="GK27" s="211"/>
      <c r="GL27" s="211"/>
      <c r="GM27" s="211"/>
      <c r="GN27" s="211"/>
      <c r="GO27" s="211"/>
      <c r="GP27" s="211"/>
      <c r="GQ27" s="211"/>
      <c r="GR27" s="211"/>
      <c r="GS27" s="211"/>
      <c r="GT27" s="211"/>
      <c r="GU27" s="211"/>
      <c r="GV27" s="211"/>
      <c r="GW27" s="211"/>
      <c r="GX27" s="211"/>
      <c r="GY27" s="211"/>
      <c r="GZ27" s="211"/>
      <c r="HA27" s="211"/>
      <c r="HB27" s="211"/>
      <c r="HC27" s="211"/>
      <c r="HD27" s="211"/>
      <c r="HE27" s="211"/>
      <c r="HF27" s="211"/>
    </row>
    <row r="28" spans="1:214" ht="22.5" customHeight="1">
      <c r="A28" s="220"/>
      <c r="B28" s="223" t="s">
        <v>3152</v>
      </c>
      <c r="C28" s="224"/>
      <c r="D28" s="36" t="s">
        <v>3153</v>
      </c>
      <c r="E28" s="36" t="s">
        <v>2957</v>
      </c>
      <c r="F28" s="211"/>
      <c r="G28" s="211"/>
      <c r="H28" s="212"/>
      <c r="I28" s="36"/>
      <c r="J28" s="210">
        <v>1</v>
      </c>
      <c r="K28" s="210"/>
      <c r="L28" s="210"/>
      <c r="M28" s="226">
        <v>1</v>
      </c>
      <c r="N28" s="210"/>
      <c r="O28" s="210"/>
      <c r="P28" s="210"/>
      <c r="Q28" s="210"/>
      <c r="R28" s="226">
        <v>1</v>
      </c>
      <c r="S28" s="226">
        <v>1</v>
      </c>
      <c r="T28" s="210"/>
      <c r="U28" s="210"/>
      <c r="V28" s="210"/>
      <c r="W28" s="210"/>
      <c r="X28" s="226">
        <v>1</v>
      </c>
      <c r="Y28" s="210"/>
      <c r="Z28" s="210"/>
      <c r="AA28" s="210"/>
      <c r="AB28" s="210"/>
      <c r="AC28" s="210"/>
      <c r="AD28" s="210"/>
      <c r="AE28" s="210"/>
      <c r="AF28" s="210"/>
      <c r="AG28" s="210"/>
      <c r="AH28" s="210"/>
      <c r="AI28" s="210"/>
      <c r="AJ28" s="211"/>
      <c r="AK28" s="210"/>
      <c r="AL28" s="210"/>
      <c r="AM28" s="210"/>
      <c r="AN28" s="272"/>
      <c r="AO28" s="29"/>
      <c r="AP28" s="29"/>
      <c r="AQ28" s="29"/>
      <c r="AR28" s="29"/>
      <c r="AS28" s="29"/>
      <c r="AT28" s="29"/>
      <c r="AU28" s="29"/>
      <c r="AV28" s="29"/>
      <c r="AW28" s="29"/>
      <c r="AX28" s="29"/>
      <c r="AY28" s="29"/>
      <c r="AZ28" s="29"/>
      <c r="BA28" s="29"/>
      <c r="BB28" s="29"/>
      <c r="BC28" s="29"/>
      <c r="BD28" s="269"/>
      <c r="BE28" s="269"/>
      <c r="BF28" s="269"/>
      <c r="BG28" s="269"/>
      <c r="BH28" s="269"/>
      <c r="BI28" s="269"/>
      <c r="BJ28" s="269"/>
      <c r="BK28" s="269"/>
      <c r="BL28" s="269"/>
      <c r="BM28" s="269"/>
      <c r="BN28" s="269"/>
      <c r="BO28" s="269"/>
      <c r="BP28" s="269"/>
      <c r="BQ28" s="269"/>
      <c r="BR28" s="269"/>
      <c r="BS28" s="269"/>
      <c r="BT28" s="269"/>
      <c r="BU28" s="269"/>
      <c r="BV28" s="269"/>
      <c r="BW28" s="269"/>
      <c r="BX28" s="269"/>
      <c r="BY28" s="269"/>
      <c r="BZ28" s="269"/>
      <c r="CA28" s="269"/>
      <c r="CB28" s="269"/>
      <c r="CC28" s="269"/>
      <c r="CD28" s="269"/>
      <c r="CE28" s="269"/>
      <c r="CF28" s="269"/>
      <c r="CG28" s="269"/>
      <c r="CH28" s="269"/>
      <c r="CI28" s="269"/>
      <c r="CJ28" s="211"/>
      <c r="CK28" s="211"/>
      <c r="CL28" s="211"/>
      <c r="CM28" s="211"/>
      <c r="CN28" s="211"/>
      <c r="CO28" s="211"/>
      <c r="CP28" s="211"/>
      <c r="CQ28" s="211"/>
      <c r="CR28" s="270"/>
      <c r="CS28" s="270"/>
      <c r="CT28" s="211"/>
      <c r="CU28" s="211"/>
      <c r="CV28" s="211"/>
      <c r="CW28" s="211"/>
      <c r="CX28" s="211"/>
      <c r="CY28" s="211"/>
      <c r="CZ28" s="211"/>
      <c r="DA28" s="211"/>
      <c r="DB28" s="211"/>
      <c r="DC28" s="211"/>
      <c r="DD28" s="211"/>
      <c r="DE28" s="211"/>
      <c r="DF28" s="211"/>
      <c r="DG28" s="211"/>
      <c r="DH28" s="211"/>
      <c r="DI28" s="211"/>
      <c r="DJ28" s="211"/>
      <c r="DK28" s="211"/>
      <c r="DL28" s="212"/>
      <c r="DM28" s="212"/>
      <c r="DN28" s="210"/>
      <c r="DO28" s="210"/>
      <c r="DP28" s="211"/>
      <c r="DQ28" s="29"/>
      <c r="DR28" s="29"/>
      <c r="DS28" s="29"/>
      <c r="DT28" s="29"/>
      <c r="DU28" s="211"/>
      <c r="DV28" s="211"/>
      <c r="DW28" s="214"/>
      <c r="DX28" s="214"/>
      <c r="DY28" s="211"/>
      <c r="DZ28" s="211"/>
      <c r="EA28" s="211"/>
      <c r="EB28" s="211"/>
      <c r="EC28" s="211"/>
      <c r="ED28" s="211"/>
      <c r="EE28" s="211"/>
      <c r="EF28" s="211"/>
      <c r="EG28" s="211"/>
      <c r="EH28" s="211"/>
      <c r="EI28" s="212"/>
      <c r="EJ28" s="212"/>
      <c r="EK28" s="212"/>
      <c r="EL28" s="212"/>
      <c r="EM28" s="212"/>
      <c r="EN28" s="212"/>
      <c r="EO28" s="211"/>
      <c r="EP28" s="211"/>
      <c r="EQ28" s="211"/>
      <c r="ER28" s="211"/>
      <c r="ES28" s="211"/>
      <c r="ET28" s="211"/>
      <c r="EU28" s="211"/>
      <c r="EV28" s="211"/>
      <c r="EW28" s="211"/>
      <c r="EX28" s="211"/>
      <c r="EY28" s="211"/>
      <c r="EZ28" s="211"/>
      <c r="FA28" s="211"/>
      <c r="FB28" s="211"/>
      <c r="FC28" s="211"/>
      <c r="FD28" s="211"/>
      <c r="FE28" s="211"/>
      <c r="FF28" s="211"/>
      <c r="FG28" s="211"/>
      <c r="FH28" s="211"/>
      <c r="FI28" s="211"/>
      <c r="FJ28" s="211"/>
      <c r="FK28" s="211"/>
      <c r="FL28" s="211"/>
      <c r="FM28" s="211"/>
      <c r="FN28" s="211"/>
      <c r="FO28" s="211"/>
      <c r="FP28" s="211"/>
      <c r="FQ28" s="211"/>
      <c r="FR28" s="211"/>
      <c r="FS28" s="211"/>
      <c r="FT28" s="211"/>
      <c r="FU28" s="211"/>
      <c r="FV28" s="211"/>
      <c r="FW28" s="211"/>
      <c r="FX28" s="211"/>
      <c r="FY28" s="211"/>
      <c r="FZ28" s="211"/>
      <c r="GA28" s="211"/>
      <c r="GB28" s="211"/>
      <c r="GC28" s="211"/>
      <c r="GD28" s="211"/>
      <c r="GE28" s="211"/>
      <c r="GF28" s="211"/>
      <c r="GG28" s="211"/>
      <c r="GH28" s="211"/>
      <c r="GI28" s="211"/>
      <c r="GJ28" s="211"/>
      <c r="GK28" s="211"/>
      <c r="GL28" s="211"/>
      <c r="GM28" s="211"/>
      <c r="GN28" s="211"/>
      <c r="GO28" s="211"/>
      <c r="GP28" s="211"/>
      <c r="GQ28" s="211"/>
      <c r="GR28" s="211"/>
      <c r="GS28" s="211"/>
      <c r="GT28" s="211"/>
      <c r="GU28" s="211"/>
      <c r="GV28" s="211"/>
      <c r="GW28" s="211"/>
      <c r="GX28" s="211"/>
      <c r="GY28" s="211"/>
      <c r="GZ28" s="211"/>
      <c r="HA28" s="211"/>
      <c r="HB28" s="211"/>
      <c r="HC28" s="211"/>
      <c r="HD28" s="211"/>
      <c r="HE28" s="211"/>
      <c r="HF28" s="211"/>
    </row>
    <row r="29" spans="1:214" ht="22.5" customHeight="1">
      <c r="A29" s="220"/>
      <c r="B29" s="223" t="s">
        <v>3154</v>
      </c>
      <c r="C29" s="224"/>
      <c r="D29" s="36" t="s">
        <v>3155</v>
      </c>
      <c r="E29" s="36"/>
      <c r="F29" s="211"/>
      <c r="G29" s="211"/>
      <c r="H29" s="212"/>
      <c r="I29" s="36"/>
      <c r="J29" s="210">
        <v>1</v>
      </c>
      <c r="K29" s="210"/>
      <c r="L29" s="210"/>
      <c r="M29" s="226">
        <v>1</v>
      </c>
      <c r="N29" s="210"/>
      <c r="O29" s="210"/>
      <c r="P29" s="210"/>
      <c r="Q29" s="210"/>
      <c r="R29" s="226">
        <v>1</v>
      </c>
      <c r="S29" s="226">
        <v>1</v>
      </c>
      <c r="T29" s="210"/>
      <c r="U29" s="210"/>
      <c r="V29" s="210"/>
      <c r="W29" s="210"/>
      <c r="X29" s="210"/>
      <c r="Y29" s="226">
        <v>1</v>
      </c>
      <c r="Z29" s="210"/>
      <c r="AA29" s="210"/>
      <c r="AB29" s="210"/>
      <c r="AC29" s="210"/>
      <c r="AD29" s="210"/>
      <c r="AE29" s="210"/>
      <c r="AF29" s="210"/>
      <c r="AG29" s="210"/>
      <c r="AH29" s="210"/>
      <c r="AI29" s="210"/>
      <c r="AJ29" s="210"/>
      <c r="AK29" s="210"/>
      <c r="AL29" s="210"/>
      <c r="AM29" s="210"/>
      <c r="AN29" s="272"/>
      <c r="AO29" s="29"/>
      <c r="AP29" s="29"/>
      <c r="AQ29" s="29"/>
      <c r="AR29" s="29"/>
      <c r="AS29" s="29"/>
      <c r="AT29" s="29"/>
      <c r="AU29" s="29"/>
      <c r="AV29" s="29"/>
      <c r="AW29" s="29"/>
      <c r="AX29" s="29"/>
      <c r="AY29" s="29"/>
      <c r="AZ29" s="29"/>
      <c r="BA29" s="29"/>
      <c r="BB29" s="29"/>
      <c r="BC29" s="29"/>
      <c r="BD29" s="269"/>
      <c r="BE29" s="269"/>
      <c r="BF29" s="269"/>
      <c r="BG29" s="269"/>
      <c r="BH29" s="269"/>
      <c r="BI29" s="269"/>
      <c r="BJ29" s="269"/>
      <c r="BK29" s="269"/>
      <c r="BL29" s="269"/>
      <c r="BM29" s="269"/>
      <c r="BN29" s="269"/>
      <c r="BO29" s="269"/>
      <c r="BP29" s="269"/>
      <c r="BQ29" s="269"/>
      <c r="BR29" s="269"/>
      <c r="BS29" s="269"/>
      <c r="BT29" s="269"/>
      <c r="BU29" s="269"/>
      <c r="BV29" s="269"/>
      <c r="BW29" s="269"/>
      <c r="BX29" s="269"/>
      <c r="BY29" s="269"/>
      <c r="BZ29" s="269"/>
      <c r="CA29" s="269"/>
      <c r="CB29" s="269"/>
      <c r="CC29" s="269"/>
      <c r="CD29" s="269"/>
      <c r="CE29" s="269"/>
      <c r="CF29" s="269"/>
      <c r="CG29" s="269"/>
      <c r="CH29" s="269"/>
      <c r="CI29" s="269"/>
      <c r="CJ29" s="211"/>
      <c r="CK29" s="211"/>
      <c r="CL29" s="211"/>
      <c r="CM29" s="211"/>
      <c r="CN29" s="211"/>
      <c r="CO29" s="211"/>
      <c r="CP29" s="211"/>
      <c r="CQ29" s="211"/>
      <c r="CR29" s="214"/>
      <c r="CS29" s="214"/>
      <c r="CT29" s="211"/>
      <c r="CU29" s="211"/>
      <c r="CV29" s="211"/>
      <c r="CW29" s="211"/>
      <c r="CX29" s="211"/>
      <c r="CY29" s="211"/>
      <c r="CZ29" s="211"/>
      <c r="DA29" s="211"/>
      <c r="DB29" s="211"/>
      <c r="DC29" s="211"/>
      <c r="DD29" s="211"/>
      <c r="DE29" s="211"/>
      <c r="DF29" s="211"/>
      <c r="DG29" s="211"/>
      <c r="DH29" s="211"/>
      <c r="DI29" s="211"/>
      <c r="DJ29" s="211"/>
      <c r="DK29" s="211"/>
      <c r="DL29" s="212"/>
      <c r="DM29" s="212"/>
      <c r="DN29" s="210"/>
      <c r="DO29" s="210"/>
      <c r="DP29" s="211"/>
      <c r="DQ29" s="29"/>
      <c r="DR29" s="29"/>
      <c r="DS29" s="29"/>
      <c r="DT29" s="29"/>
      <c r="DU29" s="211"/>
      <c r="DV29" s="211"/>
      <c r="DW29" s="214"/>
      <c r="DX29" s="214"/>
      <c r="DY29" s="211"/>
      <c r="DZ29" s="211"/>
      <c r="EA29" s="211"/>
      <c r="EB29" s="211"/>
      <c r="EC29" s="211"/>
      <c r="ED29" s="211"/>
      <c r="EE29" s="211"/>
      <c r="EF29" s="211"/>
      <c r="EG29" s="211"/>
      <c r="EH29" s="211"/>
      <c r="EI29" s="212"/>
      <c r="EJ29" s="212"/>
      <c r="EK29" s="212"/>
      <c r="EL29" s="212"/>
      <c r="EM29" s="212"/>
      <c r="EN29" s="212"/>
      <c r="EO29" s="211"/>
      <c r="EP29" s="211"/>
      <c r="EQ29" s="211"/>
      <c r="ER29" s="211"/>
      <c r="ES29" s="211"/>
      <c r="ET29" s="211"/>
      <c r="EU29" s="211"/>
      <c r="EV29" s="211"/>
      <c r="EW29" s="211"/>
      <c r="EX29" s="211"/>
      <c r="EY29" s="211"/>
      <c r="EZ29" s="211"/>
      <c r="FA29" s="211"/>
      <c r="FB29" s="211"/>
      <c r="FC29" s="211"/>
      <c r="FD29" s="211"/>
      <c r="FE29" s="211"/>
      <c r="FF29" s="211"/>
      <c r="FG29" s="211"/>
      <c r="FH29" s="211"/>
      <c r="FI29" s="211"/>
      <c r="FJ29" s="211"/>
      <c r="FK29" s="211"/>
      <c r="FL29" s="211"/>
      <c r="FM29" s="211"/>
      <c r="FN29" s="211"/>
      <c r="FO29" s="211"/>
      <c r="FP29" s="211"/>
      <c r="FQ29" s="211"/>
      <c r="FR29" s="211"/>
      <c r="FS29" s="211"/>
      <c r="FT29" s="211"/>
      <c r="FU29" s="211"/>
      <c r="FV29" s="211"/>
      <c r="FW29" s="211"/>
      <c r="FX29" s="211"/>
      <c r="FY29" s="211"/>
      <c r="FZ29" s="211"/>
      <c r="GA29" s="211"/>
      <c r="GB29" s="211"/>
      <c r="GC29" s="211"/>
      <c r="GD29" s="211"/>
      <c r="GE29" s="211"/>
      <c r="GF29" s="211"/>
      <c r="GG29" s="211"/>
      <c r="GH29" s="211"/>
      <c r="GI29" s="211"/>
      <c r="GJ29" s="211"/>
      <c r="GK29" s="211"/>
      <c r="GL29" s="211"/>
      <c r="GM29" s="211"/>
      <c r="GN29" s="211"/>
      <c r="GO29" s="211"/>
      <c r="GP29" s="211"/>
      <c r="GQ29" s="211"/>
      <c r="GR29" s="211"/>
      <c r="GS29" s="211"/>
      <c r="GT29" s="211"/>
      <c r="GU29" s="211"/>
      <c r="GV29" s="211"/>
      <c r="GW29" s="211"/>
      <c r="GX29" s="211"/>
      <c r="GY29" s="211"/>
      <c r="GZ29" s="211"/>
      <c r="HA29" s="211"/>
      <c r="HB29" s="211"/>
      <c r="HC29" s="211"/>
      <c r="HD29" s="211"/>
      <c r="HE29" s="211"/>
      <c r="HF29" s="211"/>
    </row>
    <row r="30" spans="1:214" ht="22.5" customHeight="1">
      <c r="A30" s="220"/>
      <c r="B30" s="223" t="s">
        <v>2873</v>
      </c>
      <c r="C30" s="224"/>
      <c r="D30" s="36" t="s">
        <v>2874</v>
      </c>
      <c r="E30" s="36"/>
      <c r="F30" s="211"/>
      <c r="G30" s="211"/>
      <c r="H30" s="212"/>
      <c r="I30" s="36"/>
      <c r="J30" s="210">
        <v>1</v>
      </c>
      <c r="K30" s="210"/>
      <c r="L30" s="210"/>
      <c r="M30" s="226">
        <v>1</v>
      </c>
      <c r="N30" s="210"/>
      <c r="O30" s="210"/>
      <c r="P30" s="210"/>
      <c r="Q30" s="210"/>
      <c r="R30" s="226">
        <v>1</v>
      </c>
      <c r="S30" s="226">
        <v>1</v>
      </c>
      <c r="T30" s="210"/>
      <c r="U30" s="210"/>
      <c r="V30" s="210"/>
      <c r="W30" s="210"/>
      <c r="X30" s="210"/>
      <c r="Y30" s="226">
        <v>1</v>
      </c>
      <c r="Z30" s="210"/>
      <c r="AA30" s="210"/>
      <c r="AB30" s="210"/>
      <c r="AC30" s="210"/>
      <c r="AD30" s="210"/>
      <c r="AE30" s="210"/>
      <c r="AF30" s="210"/>
      <c r="AG30" s="210"/>
      <c r="AH30" s="210"/>
      <c r="AI30" s="210"/>
      <c r="AJ30" s="210"/>
      <c r="AK30" s="210"/>
      <c r="AL30" s="210"/>
      <c r="AM30" s="210"/>
      <c r="AN30" s="272"/>
      <c r="AO30" s="29"/>
      <c r="AP30" s="29"/>
      <c r="AQ30" s="29"/>
      <c r="AR30" s="29"/>
      <c r="AS30" s="29"/>
      <c r="AT30" s="29"/>
      <c r="AU30" s="29"/>
      <c r="AV30" s="29"/>
      <c r="AW30" s="29"/>
      <c r="AX30" s="29"/>
      <c r="AY30" s="29"/>
      <c r="AZ30" s="29"/>
      <c r="BA30" s="29"/>
      <c r="BB30" s="29"/>
      <c r="BC30" s="29"/>
      <c r="BD30" s="269"/>
      <c r="BE30" s="269"/>
      <c r="BF30" s="269"/>
      <c r="BG30" s="269"/>
      <c r="BH30" s="269"/>
      <c r="BI30" s="269"/>
      <c r="BJ30" s="269"/>
      <c r="BK30" s="269"/>
      <c r="BL30" s="269"/>
      <c r="BM30" s="269"/>
      <c r="BN30" s="269"/>
      <c r="BO30" s="269"/>
      <c r="BP30" s="269"/>
      <c r="BQ30" s="269"/>
      <c r="BR30" s="269"/>
      <c r="BS30" s="269"/>
      <c r="BT30" s="269"/>
      <c r="BU30" s="269"/>
      <c r="BV30" s="269"/>
      <c r="BW30" s="269"/>
      <c r="BX30" s="269"/>
      <c r="BY30" s="269"/>
      <c r="BZ30" s="269"/>
      <c r="CA30" s="269"/>
      <c r="CB30" s="269"/>
      <c r="CC30" s="269"/>
      <c r="CD30" s="269"/>
      <c r="CE30" s="269"/>
      <c r="CF30" s="269"/>
      <c r="CG30" s="269"/>
      <c r="CH30" s="269"/>
      <c r="CI30" s="269"/>
      <c r="CJ30" s="211"/>
      <c r="CK30" s="211"/>
      <c r="CL30" s="211"/>
      <c r="CM30" s="211"/>
      <c r="CN30" s="211"/>
      <c r="CO30" s="211"/>
      <c r="CP30" s="211"/>
      <c r="CQ30" s="211"/>
      <c r="CR30" s="214"/>
      <c r="CS30" s="214"/>
      <c r="CT30" s="211"/>
      <c r="CU30" s="211"/>
      <c r="CV30" s="211"/>
      <c r="CW30" s="211"/>
      <c r="CX30" s="211"/>
      <c r="CY30" s="211"/>
      <c r="CZ30" s="211"/>
      <c r="DA30" s="211"/>
      <c r="DB30" s="211"/>
      <c r="DC30" s="211"/>
      <c r="DD30" s="211"/>
      <c r="DE30" s="211"/>
      <c r="DF30" s="211"/>
      <c r="DG30" s="211"/>
      <c r="DH30" s="211"/>
      <c r="DI30" s="211"/>
      <c r="DJ30" s="211"/>
      <c r="DK30" s="211"/>
      <c r="DL30" s="212"/>
      <c r="DM30" s="212"/>
      <c r="DN30" s="210"/>
      <c r="DO30" s="210"/>
      <c r="DP30" s="211"/>
      <c r="DQ30" s="29"/>
      <c r="DR30" s="29"/>
      <c r="DS30" s="29"/>
      <c r="DT30" s="29"/>
      <c r="DU30" s="211"/>
      <c r="DV30" s="211"/>
      <c r="DW30" s="214"/>
      <c r="DX30" s="214"/>
      <c r="DY30" s="211"/>
      <c r="DZ30" s="211"/>
      <c r="EA30" s="211"/>
      <c r="EB30" s="211"/>
      <c r="EC30" s="211"/>
      <c r="ED30" s="211"/>
      <c r="EE30" s="211"/>
      <c r="EF30" s="211"/>
      <c r="EG30" s="211"/>
      <c r="EH30" s="211"/>
      <c r="EI30" s="212"/>
      <c r="EJ30" s="212"/>
      <c r="EK30" s="212"/>
      <c r="EL30" s="212"/>
      <c r="EM30" s="212"/>
      <c r="EN30" s="212"/>
      <c r="EO30" s="211"/>
      <c r="EP30" s="211"/>
      <c r="EQ30" s="211"/>
      <c r="ER30" s="211"/>
      <c r="ES30" s="211"/>
      <c r="ET30" s="211"/>
      <c r="EU30" s="211"/>
      <c r="EV30" s="211"/>
      <c r="EW30" s="211"/>
      <c r="EX30" s="211"/>
      <c r="EY30" s="211"/>
      <c r="EZ30" s="211"/>
      <c r="FA30" s="211"/>
      <c r="FB30" s="211"/>
      <c r="FC30" s="211"/>
      <c r="FD30" s="211"/>
      <c r="FE30" s="211"/>
      <c r="FF30" s="211"/>
      <c r="FG30" s="211"/>
      <c r="FH30" s="211"/>
      <c r="FI30" s="211"/>
      <c r="FJ30" s="211"/>
      <c r="FK30" s="211"/>
      <c r="FL30" s="211"/>
      <c r="FM30" s="211"/>
      <c r="FN30" s="211"/>
      <c r="FO30" s="211"/>
      <c r="FP30" s="211"/>
      <c r="FQ30" s="211"/>
      <c r="FR30" s="211"/>
      <c r="FS30" s="211"/>
      <c r="FT30" s="211"/>
      <c r="FU30" s="211"/>
      <c r="FV30" s="211"/>
      <c r="FW30" s="211"/>
      <c r="FX30" s="211"/>
      <c r="FY30" s="211"/>
      <c r="FZ30" s="211"/>
      <c r="GA30" s="211"/>
      <c r="GB30" s="211"/>
      <c r="GC30" s="211"/>
      <c r="GD30" s="211"/>
      <c r="GE30" s="211"/>
      <c r="GF30" s="211"/>
      <c r="GG30" s="211"/>
      <c r="GH30" s="211"/>
      <c r="GI30" s="211"/>
      <c r="GJ30" s="211"/>
      <c r="GK30" s="211"/>
      <c r="GL30" s="211"/>
      <c r="GM30" s="211"/>
      <c r="GN30" s="211"/>
      <c r="GO30" s="211"/>
      <c r="GP30" s="211"/>
      <c r="GQ30" s="211"/>
      <c r="GR30" s="211"/>
      <c r="GS30" s="211"/>
      <c r="GT30" s="211"/>
      <c r="GU30" s="211"/>
      <c r="GV30" s="211"/>
      <c r="GW30" s="211"/>
      <c r="GX30" s="211"/>
      <c r="GY30" s="211"/>
      <c r="GZ30" s="211"/>
      <c r="HA30" s="211"/>
      <c r="HB30" s="211"/>
      <c r="HC30" s="211"/>
      <c r="HD30" s="211"/>
      <c r="HE30" s="211"/>
      <c r="HF30" s="211"/>
    </row>
    <row r="31" spans="1:214" ht="22.5" customHeight="1">
      <c r="A31" s="220"/>
      <c r="B31" s="223" t="s">
        <v>2915</v>
      </c>
      <c r="C31" s="224"/>
      <c r="D31" s="36" t="s">
        <v>2915</v>
      </c>
      <c r="E31" s="36"/>
      <c r="F31" s="211"/>
      <c r="G31" s="211"/>
      <c r="H31" s="212"/>
      <c r="I31" s="36"/>
      <c r="J31" s="210">
        <v>1</v>
      </c>
      <c r="K31" s="210"/>
      <c r="L31" s="210"/>
      <c r="M31" s="226">
        <v>1</v>
      </c>
      <c r="N31" s="210"/>
      <c r="O31" s="210"/>
      <c r="P31" s="210"/>
      <c r="Q31" s="210"/>
      <c r="R31" s="210"/>
      <c r="S31" s="210"/>
      <c r="T31" s="226">
        <v>1</v>
      </c>
      <c r="U31" s="210"/>
      <c r="V31" s="210"/>
      <c r="W31" s="210"/>
      <c r="X31" s="210"/>
      <c r="Y31" s="226">
        <v>1</v>
      </c>
      <c r="Z31" s="210"/>
      <c r="AA31" s="210"/>
      <c r="AB31" s="210"/>
      <c r="AC31" s="210"/>
      <c r="AD31" s="210"/>
      <c r="AE31" s="210"/>
      <c r="AF31" s="210"/>
      <c r="AG31" s="210"/>
      <c r="AH31" s="210"/>
      <c r="AI31" s="210"/>
      <c r="AJ31" s="210"/>
      <c r="AK31" s="210"/>
      <c r="AL31" s="210"/>
      <c r="AM31" s="210"/>
      <c r="AN31" s="272"/>
      <c r="AO31" s="29"/>
      <c r="AP31" s="29"/>
      <c r="AQ31" s="29"/>
      <c r="AR31" s="29"/>
      <c r="AS31" s="29"/>
      <c r="AT31" s="29"/>
      <c r="AU31" s="29"/>
      <c r="AV31" s="29"/>
      <c r="AW31" s="29"/>
      <c r="AX31" s="29"/>
      <c r="AY31" s="29"/>
      <c r="AZ31" s="29"/>
      <c r="BA31" s="29"/>
      <c r="BB31" s="29"/>
      <c r="BC31" s="29"/>
      <c r="BD31" s="269"/>
      <c r="BE31" s="269"/>
      <c r="BF31" s="269"/>
      <c r="BG31" s="269"/>
      <c r="BH31" s="269"/>
      <c r="BI31" s="269"/>
      <c r="BJ31" s="269"/>
      <c r="BK31" s="269"/>
      <c r="BL31" s="269"/>
      <c r="BM31" s="269"/>
      <c r="BN31" s="269"/>
      <c r="BO31" s="269"/>
      <c r="BP31" s="269"/>
      <c r="BQ31" s="269"/>
      <c r="BR31" s="269"/>
      <c r="BS31" s="269"/>
      <c r="BT31" s="269"/>
      <c r="BU31" s="269"/>
      <c r="BV31" s="269"/>
      <c r="BW31" s="269"/>
      <c r="BX31" s="269"/>
      <c r="BY31" s="269"/>
      <c r="BZ31" s="269"/>
      <c r="CA31" s="269"/>
      <c r="CB31" s="269"/>
      <c r="CC31" s="269"/>
      <c r="CD31" s="269"/>
      <c r="CE31" s="269"/>
      <c r="CF31" s="269"/>
      <c r="CG31" s="269"/>
      <c r="CH31" s="269"/>
      <c r="CI31" s="269"/>
      <c r="CJ31" s="211"/>
      <c r="CK31" s="211"/>
      <c r="CL31" s="211"/>
      <c r="CM31" s="211"/>
      <c r="CN31" s="211"/>
      <c r="CO31" s="211"/>
      <c r="CP31" s="211"/>
      <c r="CQ31" s="211"/>
      <c r="CR31" s="214"/>
      <c r="CS31" s="214"/>
      <c r="CT31" s="211"/>
      <c r="CU31" s="211"/>
      <c r="CV31" s="211"/>
      <c r="CW31" s="211"/>
      <c r="CX31" s="211"/>
      <c r="CY31" s="211"/>
      <c r="CZ31" s="211"/>
      <c r="DA31" s="211"/>
      <c r="DB31" s="211"/>
      <c r="DC31" s="211"/>
      <c r="DD31" s="211"/>
      <c r="DE31" s="211"/>
      <c r="DF31" s="211"/>
      <c r="DG31" s="211"/>
      <c r="DH31" s="211"/>
      <c r="DI31" s="211"/>
      <c r="DJ31" s="211"/>
      <c r="DK31" s="211"/>
      <c r="DL31" s="212"/>
      <c r="DM31" s="212"/>
      <c r="DN31" s="210"/>
      <c r="DO31" s="210"/>
      <c r="DP31" s="211"/>
      <c r="DQ31" s="29"/>
      <c r="DR31" s="29"/>
      <c r="DS31" s="29"/>
      <c r="DT31" s="29"/>
      <c r="DU31" s="211"/>
      <c r="DV31" s="211"/>
      <c r="DW31" s="214"/>
      <c r="DX31" s="214"/>
      <c r="DY31" s="211"/>
      <c r="DZ31" s="211"/>
      <c r="EA31" s="211"/>
      <c r="EB31" s="211"/>
      <c r="EC31" s="211"/>
      <c r="ED31" s="211"/>
      <c r="EE31" s="211"/>
      <c r="EF31" s="211"/>
      <c r="EG31" s="211"/>
      <c r="EH31" s="211"/>
      <c r="EI31" s="212"/>
      <c r="EJ31" s="212"/>
      <c r="EK31" s="212"/>
      <c r="EL31" s="212"/>
      <c r="EM31" s="212"/>
      <c r="EN31" s="212"/>
      <c r="EO31" s="211"/>
      <c r="EP31" s="211"/>
      <c r="EQ31" s="211"/>
      <c r="ER31" s="211"/>
      <c r="ES31" s="211"/>
      <c r="ET31" s="211"/>
      <c r="EU31" s="211"/>
      <c r="EV31" s="211"/>
      <c r="EW31" s="211"/>
      <c r="EX31" s="211"/>
      <c r="EY31" s="211"/>
      <c r="EZ31" s="211"/>
      <c r="FA31" s="211"/>
      <c r="FB31" s="211"/>
      <c r="FC31" s="211"/>
      <c r="FD31" s="211"/>
      <c r="FE31" s="211"/>
      <c r="FF31" s="211"/>
      <c r="FG31" s="211"/>
      <c r="FH31" s="211"/>
      <c r="FI31" s="211"/>
      <c r="FJ31" s="211"/>
      <c r="FK31" s="211"/>
      <c r="FL31" s="211"/>
      <c r="FM31" s="211"/>
      <c r="FN31" s="211"/>
      <c r="FO31" s="211"/>
      <c r="FP31" s="211"/>
      <c r="FQ31" s="211"/>
      <c r="FR31" s="211"/>
      <c r="FS31" s="211"/>
      <c r="FT31" s="211"/>
      <c r="FU31" s="211"/>
      <c r="FV31" s="211"/>
      <c r="FW31" s="211"/>
      <c r="FX31" s="211"/>
      <c r="FY31" s="211"/>
      <c r="FZ31" s="211"/>
      <c r="GA31" s="211"/>
      <c r="GB31" s="211"/>
      <c r="GC31" s="211"/>
      <c r="GD31" s="211"/>
      <c r="GE31" s="211"/>
      <c r="GF31" s="211"/>
      <c r="GG31" s="211"/>
      <c r="GH31" s="211"/>
      <c r="GI31" s="211"/>
      <c r="GJ31" s="211"/>
      <c r="GK31" s="211"/>
      <c r="GL31" s="211"/>
      <c r="GM31" s="211"/>
      <c r="GN31" s="211"/>
      <c r="GO31" s="211"/>
      <c r="GP31" s="211"/>
      <c r="GQ31" s="211"/>
      <c r="GR31" s="211"/>
      <c r="GS31" s="211"/>
      <c r="GT31" s="211"/>
      <c r="GU31" s="211"/>
      <c r="GV31" s="211"/>
      <c r="GW31" s="211"/>
      <c r="GX31" s="211"/>
      <c r="GY31" s="211"/>
      <c r="GZ31" s="211"/>
      <c r="HA31" s="211"/>
      <c r="HB31" s="211"/>
      <c r="HC31" s="211"/>
      <c r="HD31" s="211"/>
      <c r="HE31" s="211"/>
      <c r="HF31" s="211"/>
    </row>
    <row r="32" spans="1:214" ht="22.5" customHeight="1">
      <c r="A32" s="220"/>
      <c r="B32" s="223" t="s">
        <v>2916</v>
      </c>
      <c r="C32" s="224"/>
      <c r="D32" s="36" t="s">
        <v>2916</v>
      </c>
      <c r="E32" s="36"/>
      <c r="F32" s="211"/>
      <c r="G32" s="211"/>
      <c r="H32" s="212"/>
      <c r="I32" s="36"/>
      <c r="J32" s="210">
        <v>1</v>
      </c>
      <c r="K32" s="210"/>
      <c r="L32" s="210"/>
      <c r="M32" s="226">
        <v>1</v>
      </c>
      <c r="N32" s="210"/>
      <c r="O32" s="210"/>
      <c r="P32" s="210"/>
      <c r="Q32" s="210"/>
      <c r="R32" s="210"/>
      <c r="S32" s="210"/>
      <c r="T32" s="210"/>
      <c r="U32" s="226">
        <v>1</v>
      </c>
      <c r="V32" s="210"/>
      <c r="W32" s="210"/>
      <c r="X32" s="210"/>
      <c r="Y32" s="226">
        <v>1</v>
      </c>
      <c r="Z32" s="210"/>
      <c r="AA32" s="210"/>
      <c r="AB32" s="210"/>
      <c r="AC32" s="210"/>
      <c r="AD32" s="210"/>
      <c r="AE32" s="210"/>
      <c r="AF32" s="210"/>
      <c r="AG32" s="210"/>
      <c r="AH32" s="210"/>
      <c r="AI32" s="210"/>
      <c r="AJ32" s="210"/>
      <c r="AK32" s="210"/>
      <c r="AL32" s="210"/>
      <c r="AM32" s="210"/>
      <c r="AN32" s="272"/>
      <c r="AO32" s="29"/>
      <c r="AP32" s="29"/>
      <c r="AQ32" s="29"/>
      <c r="AR32" s="29"/>
      <c r="AS32" s="29"/>
      <c r="AT32" s="29"/>
      <c r="AU32" s="29"/>
      <c r="AV32" s="29"/>
      <c r="AW32" s="29"/>
      <c r="AX32" s="29"/>
      <c r="AY32" s="29"/>
      <c r="AZ32" s="29"/>
      <c r="BA32" s="29"/>
      <c r="BB32" s="29"/>
      <c r="BC32" s="29"/>
      <c r="BD32" s="269"/>
      <c r="BE32" s="269"/>
      <c r="BF32" s="269"/>
      <c r="BG32" s="269"/>
      <c r="BH32" s="269"/>
      <c r="BI32" s="269"/>
      <c r="BJ32" s="269"/>
      <c r="BK32" s="269"/>
      <c r="BL32" s="269"/>
      <c r="BM32" s="269"/>
      <c r="BN32" s="269"/>
      <c r="BO32" s="269"/>
      <c r="BP32" s="269"/>
      <c r="BQ32" s="269"/>
      <c r="BR32" s="269"/>
      <c r="BS32" s="269"/>
      <c r="BT32" s="269"/>
      <c r="BU32" s="269"/>
      <c r="BV32" s="269"/>
      <c r="BW32" s="269"/>
      <c r="BX32" s="269"/>
      <c r="BY32" s="269"/>
      <c r="BZ32" s="269"/>
      <c r="CA32" s="269"/>
      <c r="CB32" s="269"/>
      <c r="CC32" s="269"/>
      <c r="CD32" s="269"/>
      <c r="CE32" s="269"/>
      <c r="CF32" s="269"/>
      <c r="CG32" s="269"/>
      <c r="CH32" s="269"/>
      <c r="CI32" s="269"/>
      <c r="CJ32" s="211"/>
      <c r="CK32" s="211"/>
      <c r="CL32" s="211"/>
      <c r="CM32" s="211"/>
      <c r="CN32" s="211"/>
      <c r="CO32" s="211"/>
      <c r="CP32" s="211"/>
      <c r="CQ32" s="211"/>
      <c r="CR32" s="214"/>
      <c r="CS32" s="214"/>
      <c r="CT32" s="211"/>
      <c r="CU32" s="211"/>
      <c r="CV32" s="211"/>
      <c r="CW32" s="211"/>
      <c r="CX32" s="211"/>
      <c r="CY32" s="211"/>
      <c r="CZ32" s="211"/>
      <c r="DA32" s="211"/>
      <c r="DB32" s="211"/>
      <c r="DC32" s="211"/>
      <c r="DD32" s="211"/>
      <c r="DE32" s="211"/>
      <c r="DF32" s="211"/>
      <c r="DG32" s="211"/>
      <c r="DH32" s="211"/>
      <c r="DI32" s="211"/>
      <c r="DJ32" s="211"/>
      <c r="DK32" s="211"/>
      <c r="DL32" s="212"/>
      <c r="DM32" s="212"/>
      <c r="DN32" s="210"/>
      <c r="DO32" s="210"/>
      <c r="DP32" s="211"/>
      <c r="DQ32" s="29"/>
      <c r="DR32" s="29"/>
      <c r="DS32" s="29"/>
      <c r="DT32" s="29"/>
      <c r="DU32" s="211"/>
      <c r="DV32" s="211"/>
      <c r="DW32" s="214"/>
      <c r="DX32" s="214"/>
      <c r="DY32" s="211"/>
      <c r="DZ32" s="211"/>
      <c r="EA32" s="211"/>
      <c r="EB32" s="211"/>
      <c r="EC32" s="211"/>
      <c r="ED32" s="211"/>
      <c r="EE32" s="211"/>
      <c r="EF32" s="211"/>
      <c r="EG32" s="211"/>
      <c r="EH32" s="211"/>
      <c r="EI32" s="212"/>
      <c r="EJ32" s="212"/>
      <c r="EK32" s="212"/>
      <c r="EL32" s="212"/>
      <c r="EM32" s="212"/>
      <c r="EN32" s="212"/>
      <c r="EO32" s="211"/>
      <c r="EP32" s="211"/>
      <c r="EQ32" s="211"/>
      <c r="ER32" s="211"/>
      <c r="ES32" s="211"/>
      <c r="ET32" s="211"/>
      <c r="EU32" s="211"/>
      <c r="EV32" s="211"/>
      <c r="EW32" s="211"/>
      <c r="EX32" s="211"/>
      <c r="EY32" s="211"/>
      <c r="EZ32" s="211"/>
      <c r="FA32" s="211"/>
      <c r="FB32" s="211"/>
      <c r="FC32" s="211"/>
      <c r="FD32" s="211"/>
      <c r="FE32" s="211"/>
      <c r="FF32" s="211"/>
      <c r="FG32" s="211"/>
      <c r="FH32" s="211"/>
      <c r="FI32" s="211"/>
      <c r="FJ32" s="211"/>
      <c r="FK32" s="211"/>
      <c r="FL32" s="211"/>
      <c r="FM32" s="211"/>
      <c r="FN32" s="211"/>
      <c r="FO32" s="211"/>
      <c r="FP32" s="211"/>
      <c r="FQ32" s="211"/>
      <c r="FR32" s="211"/>
      <c r="FS32" s="211"/>
      <c r="FT32" s="211"/>
      <c r="FU32" s="211"/>
      <c r="FV32" s="211"/>
      <c r="FW32" s="211"/>
      <c r="FX32" s="211"/>
      <c r="FY32" s="211"/>
      <c r="FZ32" s="211"/>
      <c r="GA32" s="211"/>
      <c r="GB32" s="211"/>
      <c r="GC32" s="211"/>
      <c r="GD32" s="211"/>
      <c r="GE32" s="211"/>
      <c r="GF32" s="211"/>
      <c r="GG32" s="211"/>
      <c r="GH32" s="211"/>
      <c r="GI32" s="211"/>
      <c r="GJ32" s="211"/>
      <c r="GK32" s="211"/>
      <c r="GL32" s="211"/>
      <c r="GM32" s="211"/>
      <c r="GN32" s="211"/>
      <c r="GO32" s="211"/>
      <c r="GP32" s="211"/>
      <c r="GQ32" s="211"/>
      <c r="GR32" s="211"/>
      <c r="GS32" s="211"/>
      <c r="GT32" s="211"/>
      <c r="GU32" s="211"/>
      <c r="GV32" s="211"/>
      <c r="GW32" s="211"/>
      <c r="GX32" s="211"/>
      <c r="GY32" s="211"/>
      <c r="GZ32" s="211"/>
      <c r="HA32" s="211"/>
      <c r="HB32" s="211"/>
      <c r="HC32" s="211"/>
      <c r="HD32" s="211"/>
      <c r="HE32" s="211"/>
      <c r="HF32" s="211"/>
    </row>
    <row r="33" spans="1:214" ht="22.5" customHeight="1">
      <c r="A33" s="220"/>
      <c r="B33" s="223" t="s">
        <v>2917</v>
      </c>
      <c r="C33" s="224"/>
      <c r="D33" s="36" t="s">
        <v>2917</v>
      </c>
      <c r="E33" s="36"/>
      <c r="F33" s="211"/>
      <c r="G33" s="211"/>
      <c r="H33" s="212"/>
      <c r="I33" s="36"/>
      <c r="J33" s="210">
        <v>1</v>
      </c>
      <c r="K33" s="210"/>
      <c r="L33" s="210"/>
      <c r="M33" s="210"/>
      <c r="N33" s="226">
        <v>1</v>
      </c>
      <c r="O33" s="210"/>
      <c r="P33" s="210"/>
      <c r="Q33" s="210"/>
      <c r="R33" s="226">
        <v>1</v>
      </c>
      <c r="S33" s="226">
        <v>1</v>
      </c>
      <c r="T33" s="210"/>
      <c r="U33" s="226">
        <v>1</v>
      </c>
      <c r="V33" s="210"/>
      <c r="W33" s="210"/>
      <c r="X33" s="210"/>
      <c r="Y33" s="226">
        <v>1</v>
      </c>
      <c r="Z33" s="210"/>
      <c r="AA33" s="210"/>
      <c r="AB33" s="210"/>
      <c r="AC33" s="210"/>
      <c r="AD33" s="210"/>
      <c r="AE33" s="210"/>
      <c r="AF33" s="210"/>
      <c r="AG33" s="210"/>
      <c r="AH33" s="210"/>
      <c r="AI33" s="210"/>
      <c r="AJ33" s="210"/>
      <c r="AK33" s="210"/>
      <c r="AL33" s="210"/>
      <c r="AM33" s="210"/>
      <c r="AN33" s="272"/>
      <c r="AO33" s="29"/>
      <c r="AP33" s="29"/>
      <c r="AQ33" s="29"/>
      <c r="AR33" s="29"/>
      <c r="AS33" s="29"/>
      <c r="AT33" s="29"/>
      <c r="AU33" s="29"/>
      <c r="AV33" s="29"/>
      <c r="AW33" s="29"/>
      <c r="AX33" s="29"/>
      <c r="AY33" s="29"/>
      <c r="AZ33" s="29"/>
      <c r="BA33" s="29"/>
      <c r="BB33" s="29"/>
      <c r="BC33" s="29"/>
      <c r="BD33" s="269"/>
      <c r="BE33" s="269"/>
      <c r="BF33" s="269"/>
      <c r="BG33" s="269"/>
      <c r="BH33" s="269"/>
      <c r="BI33" s="269"/>
      <c r="BJ33" s="269"/>
      <c r="BK33" s="269"/>
      <c r="BL33" s="269"/>
      <c r="BM33" s="269"/>
      <c r="BN33" s="269"/>
      <c r="BO33" s="269"/>
      <c r="BP33" s="269"/>
      <c r="BQ33" s="269"/>
      <c r="BR33" s="269"/>
      <c r="BS33" s="269"/>
      <c r="BT33" s="269"/>
      <c r="BU33" s="269"/>
      <c r="BV33" s="269"/>
      <c r="BW33" s="269"/>
      <c r="BX33" s="269"/>
      <c r="BY33" s="269"/>
      <c r="BZ33" s="269"/>
      <c r="CA33" s="269"/>
      <c r="CB33" s="269"/>
      <c r="CC33" s="269"/>
      <c r="CD33" s="269"/>
      <c r="CE33" s="269"/>
      <c r="CF33" s="269"/>
      <c r="CG33" s="269"/>
      <c r="CH33" s="269"/>
      <c r="CI33" s="269"/>
      <c r="CJ33" s="211"/>
      <c r="CK33" s="211"/>
      <c r="CL33" s="211"/>
      <c r="CM33" s="211"/>
      <c r="CN33" s="211"/>
      <c r="CO33" s="211"/>
      <c r="CP33" s="211"/>
      <c r="CQ33" s="211"/>
      <c r="CR33" s="214"/>
      <c r="CS33" s="214"/>
      <c r="CT33" s="211"/>
      <c r="CU33" s="211"/>
      <c r="CV33" s="211"/>
      <c r="CW33" s="211"/>
      <c r="CX33" s="211"/>
      <c r="CY33" s="211"/>
      <c r="CZ33" s="211"/>
      <c r="DA33" s="211"/>
      <c r="DB33" s="211"/>
      <c r="DC33" s="211"/>
      <c r="DD33" s="211"/>
      <c r="DE33" s="211"/>
      <c r="DF33" s="211"/>
      <c r="DG33" s="211"/>
      <c r="DH33" s="211"/>
      <c r="DI33" s="211"/>
      <c r="DJ33" s="211"/>
      <c r="DK33" s="211"/>
      <c r="DL33" s="212"/>
      <c r="DM33" s="212"/>
      <c r="DN33" s="210"/>
      <c r="DO33" s="210"/>
      <c r="DP33" s="211"/>
      <c r="DQ33" s="29"/>
      <c r="DR33" s="29"/>
      <c r="DS33" s="29"/>
      <c r="DT33" s="29"/>
      <c r="DU33" s="211"/>
      <c r="DV33" s="211"/>
      <c r="DW33" s="214"/>
      <c r="DX33" s="214"/>
      <c r="DY33" s="211"/>
      <c r="DZ33" s="211"/>
      <c r="EA33" s="211"/>
      <c r="EB33" s="211"/>
      <c r="EC33" s="211"/>
      <c r="ED33" s="211"/>
      <c r="EE33" s="211"/>
      <c r="EF33" s="211"/>
      <c r="EG33" s="211"/>
      <c r="EH33" s="211"/>
      <c r="EI33" s="212"/>
      <c r="EJ33" s="212"/>
      <c r="EK33" s="212"/>
      <c r="EL33" s="212"/>
      <c r="EM33" s="212"/>
      <c r="EN33" s="212"/>
      <c r="EO33" s="211"/>
      <c r="EP33" s="211"/>
      <c r="EQ33" s="211"/>
      <c r="ER33" s="211"/>
      <c r="ES33" s="211"/>
      <c r="ET33" s="211"/>
      <c r="EU33" s="211"/>
      <c r="EV33" s="211"/>
      <c r="EW33" s="211"/>
      <c r="EX33" s="211"/>
      <c r="EY33" s="211"/>
      <c r="EZ33" s="211"/>
      <c r="FA33" s="211"/>
      <c r="FB33" s="211"/>
      <c r="FC33" s="211"/>
      <c r="FD33" s="211"/>
      <c r="FE33" s="211"/>
      <c r="FF33" s="211"/>
      <c r="FG33" s="211"/>
      <c r="FH33" s="211"/>
      <c r="FI33" s="211"/>
      <c r="FJ33" s="211"/>
      <c r="FK33" s="211"/>
      <c r="FL33" s="211"/>
      <c r="FM33" s="211"/>
      <c r="FN33" s="211"/>
      <c r="FO33" s="211"/>
      <c r="FP33" s="211"/>
      <c r="FQ33" s="211"/>
      <c r="FR33" s="211"/>
      <c r="FS33" s="211"/>
      <c r="FT33" s="211"/>
      <c r="FU33" s="211"/>
      <c r="FV33" s="211"/>
      <c r="FW33" s="211"/>
      <c r="FX33" s="211"/>
      <c r="FY33" s="211"/>
      <c r="FZ33" s="211"/>
      <c r="GA33" s="211"/>
      <c r="GB33" s="211"/>
      <c r="GC33" s="211"/>
      <c r="GD33" s="211"/>
      <c r="GE33" s="211"/>
      <c r="GF33" s="211"/>
      <c r="GG33" s="211"/>
      <c r="GH33" s="211"/>
      <c r="GI33" s="211"/>
      <c r="GJ33" s="211"/>
      <c r="GK33" s="211"/>
      <c r="GL33" s="211"/>
      <c r="GM33" s="211"/>
      <c r="GN33" s="211"/>
      <c r="GO33" s="211"/>
      <c r="GP33" s="211"/>
      <c r="GQ33" s="211"/>
      <c r="GR33" s="211"/>
      <c r="GS33" s="211"/>
      <c r="GT33" s="211"/>
      <c r="GU33" s="211"/>
      <c r="GV33" s="211"/>
      <c r="GW33" s="211"/>
      <c r="GX33" s="211"/>
      <c r="GY33" s="211"/>
      <c r="GZ33" s="211"/>
      <c r="HA33" s="211"/>
      <c r="HB33" s="211"/>
      <c r="HC33" s="211"/>
      <c r="HD33" s="211"/>
      <c r="HE33" s="211"/>
      <c r="HF33" s="211"/>
    </row>
    <row r="34" spans="1:214" ht="22.5" customHeight="1">
      <c r="A34" s="220"/>
      <c r="B34" s="223" t="s">
        <v>2918</v>
      </c>
      <c r="C34" s="224"/>
      <c r="D34" s="36" t="s">
        <v>2918</v>
      </c>
      <c r="E34" s="36"/>
      <c r="F34" s="211"/>
      <c r="G34" s="211"/>
      <c r="H34" s="212"/>
      <c r="I34" s="36"/>
      <c r="J34" s="210">
        <v>1</v>
      </c>
      <c r="K34" s="210"/>
      <c r="L34" s="210"/>
      <c r="M34" s="210"/>
      <c r="N34" s="210"/>
      <c r="O34" s="226">
        <v>1</v>
      </c>
      <c r="P34" s="210"/>
      <c r="Q34" s="210"/>
      <c r="R34" s="226">
        <v>1</v>
      </c>
      <c r="S34" s="226">
        <v>1</v>
      </c>
      <c r="T34" s="210"/>
      <c r="U34" s="226">
        <v>1</v>
      </c>
      <c r="V34" s="210"/>
      <c r="W34" s="210"/>
      <c r="X34" s="210"/>
      <c r="Y34" s="226">
        <v>1</v>
      </c>
      <c r="Z34" s="210"/>
      <c r="AA34" s="210"/>
      <c r="AB34" s="210"/>
      <c r="AC34" s="210"/>
      <c r="AD34" s="210"/>
      <c r="AE34" s="210"/>
      <c r="AF34" s="210"/>
      <c r="AG34" s="210"/>
      <c r="AH34" s="210"/>
      <c r="AI34" s="210"/>
      <c r="AJ34" s="210"/>
      <c r="AK34" s="210"/>
      <c r="AL34" s="210"/>
      <c r="AM34" s="210"/>
      <c r="AN34" s="272"/>
      <c r="AO34" s="29"/>
      <c r="AP34" s="29"/>
      <c r="AQ34" s="29"/>
      <c r="AR34" s="29"/>
      <c r="AS34" s="29"/>
      <c r="AT34" s="29"/>
      <c r="AU34" s="29"/>
      <c r="AV34" s="29"/>
      <c r="AW34" s="29"/>
      <c r="AX34" s="29"/>
      <c r="AY34" s="29"/>
      <c r="AZ34" s="29"/>
      <c r="BA34" s="29"/>
      <c r="BB34" s="29"/>
      <c r="BC34" s="29"/>
      <c r="BD34" s="269"/>
      <c r="BE34" s="269"/>
      <c r="BF34" s="269"/>
      <c r="BG34" s="269"/>
      <c r="BH34" s="269"/>
      <c r="BI34" s="269"/>
      <c r="BJ34" s="269"/>
      <c r="BK34" s="269"/>
      <c r="BL34" s="269"/>
      <c r="BM34" s="269"/>
      <c r="BN34" s="269"/>
      <c r="BO34" s="269"/>
      <c r="BP34" s="269"/>
      <c r="BQ34" s="269"/>
      <c r="BR34" s="269"/>
      <c r="BS34" s="269"/>
      <c r="BT34" s="269"/>
      <c r="BU34" s="269"/>
      <c r="BV34" s="269"/>
      <c r="BW34" s="269"/>
      <c r="BX34" s="269"/>
      <c r="BY34" s="269"/>
      <c r="BZ34" s="269"/>
      <c r="CA34" s="269"/>
      <c r="CB34" s="269"/>
      <c r="CC34" s="269"/>
      <c r="CD34" s="269"/>
      <c r="CE34" s="269"/>
      <c r="CF34" s="269"/>
      <c r="CG34" s="269"/>
      <c r="CH34" s="269"/>
      <c r="CI34" s="269"/>
      <c r="CJ34" s="211"/>
      <c r="CK34" s="211"/>
      <c r="CL34" s="211"/>
      <c r="CM34" s="211"/>
      <c r="CN34" s="211"/>
      <c r="CO34" s="211"/>
      <c r="CP34" s="211"/>
      <c r="CQ34" s="211"/>
      <c r="CR34" s="214"/>
      <c r="CS34" s="214"/>
      <c r="CT34" s="211"/>
      <c r="CU34" s="211"/>
      <c r="CV34" s="211"/>
      <c r="CW34" s="211"/>
      <c r="CX34" s="211"/>
      <c r="CY34" s="211"/>
      <c r="CZ34" s="211"/>
      <c r="DA34" s="211"/>
      <c r="DB34" s="211"/>
      <c r="DC34" s="211"/>
      <c r="DD34" s="211"/>
      <c r="DE34" s="211"/>
      <c r="DF34" s="211"/>
      <c r="DG34" s="211"/>
      <c r="DH34" s="211"/>
      <c r="DI34" s="211"/>
      <c r="DJ34" s="211"/>
      <c r="DK34" s="211"/>
      <c r="DL34" s="212"/>
      <c r="DM34" s="212"/>
      <c r="DN34" s="210"/>
      <c r="DO34" s="210"/>
      <c r="DP34" s="211"/>
      <c r="DQ34" s="29"/>
      <c r="DR34" s="29"/>
      <c r="DS34" s="29"/>
      <c r="DT34" s="29"/>
      <c r="DU34" s="211"/>
      <c r="DV34" s="211"/>
      <c r="DW34" s="214"/>
      <c r="DX34" s="214"/>
      <c r="DY34" s="211"/>
      <c r="DZ34" s="211"/>
      <c r="EA34" s="211"/>
      <c r="EB34" s="211"/>
      <c r="EC34" s="211"/>
      <c r="ED34" s="211"/>
      <c r="EE34" s="211"/>
      <c r="EF34" s="211"/>
      <c r="EG34" s="211"/>
      <c r="EH34" s="211"/>
      <c r="EI34" s="212"/>
      <c r="EJ34" s="212"/>
      <c r="EK34" s="212"/>
      <c r="EL34" s="212"/>
      <c r="EM34" s="212"/>
      <c r="EN34" s="212"/>
      <c r="EO34" s="211"/>
      <c r="EP34" s="211"/>
      <c r="EQ34" s="211"/>
      <c r="ER34" s="211"/>
      <c r="ES34" s="211"/>
      <c r="ET34" s="211"/>
      <c r="EU34" s="211"/>
      <c r="EV34" s="211"/>
      <c r="EW34" s="211"/>
      <c r="EX34" s="211"/>
      <c r="EY34" s="211"/>
      <c r="EZ34" s="211"/>
      <c r="FA34" s="211"/>
      <c r="FB34" s="211"/>
      <c r="FC34" s="211"/>
      <c r="FD34" s="211"/>
      <c r="FE34" s="211"/>
      <c r="FF34" s="211"/>
      <c r="FG34" s="211"/>
      <c r="FH34" s="211"/>
      <c r="FI34" s="211"/>
      <c r="FJ34" s="211"/>
      <c r="FK34" s="211"/>
      <c r="FL34" s="211"/>
      <c r="FM34" s="211"/>
      <c r="FN34" s="211"/>
      <c r="FO34" s="211"/>
      <c r="FP34" s="211"/>
      <c r="FQ34" s="211"/>
      <c r="FR34" s="211"/>
      <c r="FS34" s="211"/>
      <c r="FT34" s="211"/>
      <c r="FU34" s="211"/>
      <c r="FV34" s="211"/>
      <c r="FW34" s="211"/>
      <c r="FX34" s="211"/>
      <c r="FY34" s="211"/>
      <c r="FZ34" s="211"/>
      <c r="GA34" s="211"/>
      <c r="GB34" s="211"/>
      <c r="GC34" s="211"/>
      <c r="GD34" s="211"/>
      <c r="GE34" s="211"/>
      <c r="GF34" s="211"/>
      <c r="GG34" s="211"/>
      <c r="GH34" s="211"/>
      <c r="GI34" s="211"/>
      <c r="GJ34" s="211"/>
      <c r="GK34" s="211"/>
      <c r="GL34" s="211"/>
      <c r="GM34" s="211"/>
      <c r="GN34" s="211"/>
      <c r="GO34" s="211"/>
      <c r="GP34" s="211"/>
      <c r="GQ34" s="211"/>
      <c r="GR34" s="211"/>
      <c r="GS34" s="211"/>
      <c r="GT34" s="211"/>
      <c r="GU34" s="211"/>
      <c r="GV34" s="211"/>
      <c r="GW34" s="211"/>
      <c r="GX34" s="211"/>
      <c r="GY34" s="211"/>
      <c r="GZ34" s="211"/>
      <c r="HA34" s="211"/>
      <c r="HB34" s="211"/>
      <c r="HC34" s="211"/>
      <c r="HD34" s="211"/>
      <c r="HE34" s="211"/>
      <c r="HF34" s="211"/>
    </row>
    <row r="35" spans="1:214" ht="22.5" customHeight="1">
      <c r="A35" s="220"/>
      <c r="B35" s="223" t="s">
        <v>3317</v>
      </c>
      <c r="C35" s="224"/>
      <c r="D35" s="36" t="s">
        <v>3318</v>
      </c>
      <c r="E35" s="36" t="s">
        <v>3319</v>
      </c>
      <c r="F35" s="212"/>
      <c r="G35" s="211"/>
      <c r="H35" s="212"/>
      <c r="I35" s="36"/>
      <c r="J35" s="210">
        <v>1</v>
      </c>
      <c r="K35" s="210"/>
      <c r="L35" s="210"/>
      <c r="M35" s="226">
        <v>1</v>
      </c>
      <c r="N35" s="210"/>
      <c r="O35" s="210"/>
      <c r="P35" s="210"/>
      <c r="Q35" s="210"/>
      <c r="R35" s="210"/>
      <c r="S35" s="210"/>
      <c r="T35" s="210"/>
      <c r="U35" s="226">
        <v>1</v>
      </c>
      <c r="V35" s="210"/>
      <c r="W35" s="210"/>
      <c r="X35" s="210">
        <v>1</v>
      </c>
      <c r="Y35" s="210"/>
      <c r="Z35" s="210"/>
      <c r="AA35" s="210"/>
      <c r="AB35" s="210"/>
      <c r="AC35" s="210"/>
      <c r="AD35" s="210"/>
      <c r="AE35" s="210"/>
      <c r="AF35" s="210"/>
      <c r="AG35" s="210"/>
      <c r="AH35" s="210"/>
      <c r="AI35" s="210"/>
      <c r="AJ35" s="211"/>
      <c r="AK35" s="210"/>
      <c r="AL35" s="210"/>
      <c r="AM35" s="210"/>
      <c r="AN35" s="272"/>
      <c r="AO35" s="29"/>
      <c r="AP35" s="29"/>
      <c r="AQ35" s="29"/>
      <c r="AR35" s="29"/>
      <c r="AS35" s="29"/>
      <c r="AT35" s="29"/>
      <c r="AU35" s="29"/>
      <c r="AV35" s="29"/>
      <c r="AW35" s="29"/>
      <c r="AX35" s="29"/>
      <c r="AY35" s="29"/>
      <c r="AZ35" s="29"/>
      <c r="BA35" s="29"/>
      <c r="BB35" s="29"/>
      <c r="BC35" s="29"/>
      <c r="BD35" s="269"/>
      <c r="BE35" s="269"/>
      <c r="BF35" s="269"/>
      <c r="BG35" s="269"/>
      <c r="BH35" s="269"/>
      <c r="BI35" s="269"/>
      <c r="BJ35" s="269"/>
      <c r="BK35" s="269"/>
      <c r="BL35" s="269"/>
      <c r="BM35" s="269"/>
      <c r="BN35" s="269"/>
      <c r="BO35" s="269"/>
      <c r="BP35" s="269"/>
      <c r="BQ35" s="269"/>
      <c r="BR35" s="269"/>
      <c r="BS35" s="269"/>
      <c r="BT35" s="269"/>
      <c r="BU35" s="269"/>
      <c r="BV35" s="269"/>
      <c r="BW35" s="269"/>
      <c r="BX35" s="269"/>
      <c r="BY35" s="269"/>
      <c r="BZ35" s="269"/>
      <c r="CA35" s="269"/>
      <c r="CB35" s="269"/>
      <c r="CC35" s="269"/>
      <c r="CD35" s="269"/>
      <c r="CE35" s="269"/>
      <c r="CF35" s="269"/>
      <c r="CG35" s="269"/>
      <c r="CH35" s="269"/>
      <c r="CI35" s="269"/>
      <c r="CJ35" s="211"/>
      <c r="CK35" s="211"/>
      <c r="CL35" s="211"/>
      <c r="CM35" s="211"/>
      <c r="CN35" s="211"/>
      <c r="CO35" s="211"/>
      <c r="CP35" s="211"/>
      <c r="CQ35" s="211"/>
      <c r="CR35" s="270"/>
      <c r="CS35" s="270"/>
      <c r="CT35" s="211"/>
      <c r="CU35" s="211"/>
      <c r="CV35" s="211"/>
      <c r="CW35" s="211"/>
      <c r="CX35" s="211"/>
      <c r="CY35" s="211"/>
      <c r="CZ35" s="211"/>
      <c r="DA35" s="211"/>
      <c r="DB35" s="211"/>
      <c r="DC35" s="211"/>
      <c r="DD35" s="211"/>
      <c r="DE35" s="211"/>
      <c r="DF35" s="211"/>
      <c r="DG35" s="211"/>
      <c r="DH35" s="211"/>
      <c r="DI35" s="211"/>
      <c r="DJ35" s="211"/>
      <c r="DK35" s="211"/>
      <c r="DL35" s="212"/>
      <c r="DM35" s="212"/>
      <c r="DN35" s="210"/>
      <c r="DO35" s="210"/>
      <c r="DP35" s="211"/>
      <c r="DQ35" s="29"/>
      <c r="DR35" s="29"/>
      <c r="DS35" s="29"/>
      <c r="DT35" s="29"/>
      <c r="DU35" s="211"/>
      <c r="DV35" s="211"/>
      <c r="DW35" s="214"/>
      <c r="DX35" s="214"/>
      <c r="DY35" s="211"/>
      <c r="DZ35" s="211"/>
      <c r="EA35" s="211"/>
      <c r="EB35" s="211"/>
      <c r="EC35" s="211"/>
      <c r="ED35" s="211"/>
      <c r="EE35" s="211"/>
      <c r="EF35" s="211"/>
      <c r="EG35" s="211"/>
      <c r="EH35" s="211"/>
      <c r="EI35" s="212"/>
      <c r="EJ35" s="212"/>
      <c r="EK35" s="212"/>
      <c r="EL35" s="212"/>
      <c r="EM35" s="212"/>
      <c r="EN35" s="212"/>
      <c r="EO35" s="211"/>
      <c r="EP35" s="211"/>
      <c r="EQ35" s="211"/>
      <c r="ER35" s="211"/>
      <c r="ES35" s="211"/>
      <c r="ET35" s="211"/>
      <c r="EU35" s="211"/>
      <c r="EV35" s="211"/>
      <c r="EW35" s="211"/>
      <c r="EX35" s="211"/>
      <c r="EY35" s="211"/>
      <c r="EZ35" s="211"/>
      <c r="FA35" s="211"/>
      <c r="FB35" s="211"/>
      <c r="FC35" s="211"/>
      <c r="FD35" s="211"/>
      <c r="FE35" s="211"/>
      <c r="FF35" s="211"/>
      <c r="FG35" s="211"/>
      <c r="FH35" s="211"/>
      <c r="FI35" s="211"/>
      <c r="FJ35" s="211"/>
      <c r="FK35" s="211"/>
      <c r="FL35" s="211"/>
      <c r="FM35" s="211"/>
      <c r="FN35" s="211"/>
      <c r="FO35" s="211"/>
      <c r="FP35" s="211"/>
      <c r="FQ35" s="211"/>
      <c r="FR35" s="211"/>
      <c r="FS35" s="211"/>
      <c r="FT35" s="211"/>
      <c r="FU35" s="211"/>
      <c r="FV35" s="211"/>
      <c r="FW35" s="211"/>
      <c r="FX35" s="211"/>
      <c r="FY35" s="211"/>
      <c r="FZ35" s="211"/>
      <c r="GA35" s="211"/>
      <c r="GB35" s="211"/>
      <c r="GC35" s="211"/>
      <c r="GD35" s="211"/>
      <c r="GE35" s="211"/>
      <c r="GF35" s="211"/>
      <c r="GG35" s="211"/>
      <c r="GH35" s="211"/>
      <c r="GI35" s="211"/>
      <c r="GJ35" s="211"/>
      <c r="GK35" s="211"/>
      <c r="GL35" s="211"/>
      <c r="GM35" s="211"/>
      <c r="GN35" s="211"/>
      <c r="GO35" s="211"/>
      <c r="GP35" s="211"/>
      <c r="GQ35" s="211"/>
      <c r="GR35" s="211"/>
      <c r="GS35" s="211"/>
      <c r="GT35" s="211"/>
      <c r="GU35" s="211"/>
      <c r="GV35" s="211"/>
      <c r="GW35" s="211"/>
      <c r="GX35" s="211"/>
      <c r="GY35" s="211"/>
      <c r="GZ35" s="211"/>
      <c r="HA35" s="211"/>
      <c r="HB35" s="211"/>
      <c r="HC35" s="211"/>
      <c r="HD35" s="211"/>
      <c r="HE35" s="211"/>
      <c r="HF35" s="211"/>
    </row>
    <row r="36" spans="1:214" ht="22.5" customHeight="1">
      <c r="A36" s="220"/>
      <c r="B36" s="223" t="s">
        <v>2282</v>
      </c>
      <c r="C36" s="224"/>
      <c r="D36" s="36" t="s">
        <v>2282</v>
      </c>
      <c r="E36" s="36"/>
      <c r="F36" s="212"/>
      <c r="G36" s="211"/>
      <c r="H36" s="212"/>
      <c r="I36" s="36"/>
      <c r="J36" s="210">
        <v>1</v>
      </c>
      <c r="K36" s="210"/>
      <c r="L36" s="210"/>
      <c r="M36" s="226">
        <v>1</v>
      </c>
      <c r="N36" s="226">
        <v>1</v>
      </c>
      <c r="O36" s="226">
        <v>1</v>
      </c>
      <c r="P36" s="210"/>
      <c r="Q36" s="210"/>
      <c r="R36" s="226">
        <v>1</v>
      </c>
      <c r="S36" s="226">
        <v>1</v>
      </c>
      <c r="T36" s="210"/>
      <c r="U36" s="210"/>
      <c r="V36" s="210"/>
      <c r="W36" s="210"/>
      <c r="X36" s="210"/>
      <c r="Y36" s="226">
        <v>1</v>
      </c>
      <c r="Z36" s="210"/>
      <c r="AA36" s="210"/>
      <c r="AB36" s="210"/>
      <c r="AC36" s="210"/>
      <c r="AD36" s="210"/>
      <c r="AE36" s="210"/>
      <c r="AF36" s="210"/>
      <c r="AG36" s="210"/>
      <c r="AH36" s="210"/>
      <c r="AI36" s="210"/>
      <c r="AJ36" s="211"/>
      <c r="AK36" s="210"/>
      <c r="AL36" s="210"/>
      <c r="AM36" s="210"/>
      <c r="AN36" s="272"/>
      <c r="AO36" s="29"/>
      <c r="AP36" s="29"/>
      <c r="AQ36" s="29"/>
      <c r="AR36" s="29"/>
      <c r="AS36" s="29"/>
      <c r="AT36" s="29"/>
      <c r="AU36" s="29"/>
      <c r="AV36" s="29"/>
      <c r="AW36" s="29"/>
      <c r="AX36" s="29"/>
      <c r="AY36" s="29"/>
      <c r="AZ36" s="29"/>
      <c r="BA36" s="29"/>
      <c r="BB36" s="29"/>
      <c r="BC36" s="29"/>
      <c r="BD36" s="269"/>
      <c r="BE36" s="269"/>
      <c r="BF36" s="269"/>
      <c r="BG36" s="269"/>
      <c r="BH36" s="269"/>
      <c r="BI36" s="269"/>
      <c r="BJ36" s="269"/>
      <c r="BK36" s="269"/>
      <c r="BL36" s="269"/>
      <c r="BM36" s="269"/>
      <c r="BN36" s="269"/>
      <c r="BO36" s="269"/>
      <c r="BP36" s="269"/>
      <c r="BQ36" s="269"/>
      <c r="BR36" s="269"/>
      <c r="BS36" s="269"/>
      <c r="BT36" s="269"/>
      <c r="BU36" s="269"/>
      <c r="BV36" s="269"/>
      <c r="BW36" s="269"/>
      <c r="BX36" s="269"/>
      <c r="BY36" s="269"/>
      <c r="BZ36" s="269"/>
      <c r="CA36" s="269"/>
      <c r="CB36" s="269"/>
      <c r="CC36" s="269"/>
      <c r="CD36" s="269"/>
      <c r="CE36" s="269"/>
      <c r="CF36" s="269"/>
      <c r="CG36" s="269"/>
      <c r="CH36" s="269"/>
      <c r="CI36" s="269"/>
      <c r="CJ36" s="211"/>
      <c r="CK36" s="211"/>
      <c r="CL36" s="211"/>
      <c r="CM36" s="211"/>
      <c r="CN36" s="211"/>
      <c r="CO36" s="211"/>
      <c r="CP36" s="211"/>
      <c r="CQ36" s="211"/>
      <c r="CR36" s="270"/>
      <c r="CS36" s="270"/>
      <c r="CT36" s="211"/>
      <c r="CU36" s="211"/>
      <c r="CV36" s="211"/>
      <c r="CW36" s="211"/>
      <c r="CX36" s="211"/>
      <c r="CY36" s="211"/>
      <c r="CZ36" s="211"/>
      <c r="DA36" s="211"/>
      <c r="DB36" s="211"/>
      <c r="DC36" s="211"/>
      <c r="DD36" s="211"/>
      <c r="DE36" s="211"/>
      <c r="DF36" s="211"/>
      <c r="DG36" s="211"/>
      <c r="DH36" s="211"/>
      <c r="DI36" s="211"/>
      <c r="DJ36" s="211"/>
      <c r="DK36" s="211"/>
      <c r="DL36" s="212"/>
      <c r="DM36" s="212"/>
      <c r="DN36" s="210"/>
      <c r="DO36" s="210"/>
      <c r="DP36" s="211"/>
      <c r="DQ36" s="29"/>
      <c r="DR36" s="29"/>
      <c r="DS36" s="29"/>
      <c r="DT36" s="29"/>
      <c r="DU36" s="211"/>
      <c r="DV36" s="211"/>
      <c r="DW36" s="214"/>
      <c r="DX36" s="214"/>
      <c r="DY36" s="211"/>
      <c r="DZ36" s="211"/>
      <c r="EA36" s="211"/>
      <c r="EB36" s="211"/>
      <c r="EC36" s="211"/>
      <c r="ED36" s="211"/>
      <c r="EE36" s="211"/>
      <c r="EF36" s="211"/>
      <c r="EG36" s="211"/>
      <c r="EH36" s="211"/>
      <c r="EI36" s="212"/>
      <c r="EJ36" s="212"/>
      <c r="EK36" s="212"/>
      <c r="EL36" s="212"/>
      <c r="EM36" s="212"/>
      <c r="EN36" s="212"/>
      <c r="EO36" s="211"/>
      <c r="EP36" s="211"/>
      <c r="EQ36" s="211"/>
      <c r="ER36" s="211"/>
      <c r="ES36" s="211"/>
      <c r="ET36" s="211"/>
      <c r="EU36" s="211"/>
      <c r="EV36" s="211"/>
      <c r="EW36" s="211"/>
      <c r="EX36" s="211"/>
      <c r="EY36" s="211"/>
      <c r="EZ36" s="211"/>
      <c r="FA36" s="211"/>
      <c r="FB36" s="211"/>
      <c r="FC36" s="211"/>
      <c r="FD36" s="211"/>
      <c r="FE36" s="211"/>
      <c r="FF36" s="211"/>
      <c r="FG36" s="211"/>
      <c r="FH36" s="211"/>
      <c r="FI36" s="211"/>
      <c r="FJ36" s="211"/>
      <c r="FK36" s="211"/>
      <c r="FL36" s="211"/>
      <c r="FM36" s="211"/>
      <c r="FN36" s="211"/>
      <c r="FO36" s="211"/>
      <c r="FP36" s="211"/>
      <c r="FQ36" s="211"/>
      <c r="FR36" s="211"/>
      <c r="FS36" s="211"/>
      <c r="FT36" s="211"/>
      <c r="FU36" s="211"/>
      <c r="FV36" s="211"/>
      <c r="FW36" s="211"/>
      <c r="FX36" s="211"/>
      <c r="FY36" s="211"/>
      <c r="FZ36" s="211"/>
      <c r="GA36" s="211"/>
      <c r="GB36" s="211"/>
      <c r="GC36" s="211"/>
      <c r="GD36" s="211"/>
      <c r="GE36" s="211"/>
      <c r="GF36" s="211"/>
      <c r="GG36" s="211"/>
      <c r="GH36" s="211"/>
      <c r="GI36" s="211"/>
      <c r="GJ36" s="211"/>
      <c r="GK36" s="211"/>
      <c r="GL36" s="211"/>
      <c r="GM36" s="211"/>
      <c r="GN36" s="211"/>
      <c r="GO36" s="211"/>
      <c r="GP36" s="211"/>
      <c r="GQ36" s="211"/>
      <c r="GR36" s="211"/>
      <c r="GS36" s="211"/>
      <c r="GT36" s="211"/>
      <c r="GU36" s="211"/>
      <c r="GV36" s="211"/>
      <c r="GW36" s="211"/>
      <c r="GX36" s="211"/>
      <c r="GY36" s="211"/>
      <c r="GZ36" s="211"/>
      <c r="HA36" s="211"/>
      <c r="HB36" s="211"/>
      <c r="HC36" s="211"/>
      <c r="HD36" s="211"/>
      <c r="HE36" s="211"/>
      <c r="HF36" s="211"/>
    </row>
    <row r="37" spans="1:214" ht="22.5" customHeight="1">
      <c r="A37" s="220"/>
      <c r="B37" s="223" t="s">
        <v>2283</v>
      </c>
      <c r="C37" s="224"/>
      <c r="D37" s="36" t="s">
        <v>2283</v>
      </c>
      <c r="E37" s="36"/>
      <c r="F37" s="212"/>
      <c r="G37" s="211"/>
      <c r="H37" s="212"/>
      <c r="I37" s="36"/>
      <c r="J37" s="210">
        <v>1</v>
      </c>
      <c r="K37" s="210"/>
      <c r="L37" s="210"/>
      <c r="M37" s="226">
        <v>1</v>
      </c>
      <c r="N37" s="226">
        <v>1</v>
      </c>
      <c r="O37" s="226">
        <v>1</v>
      </c>
      <c r="P37" s="210"/>
      <c r="Q37" s="210"/>
      <c r="R37" s="210"/>
      <c r="S37" s="210"/>
      <c r="T37" s="226">
        <v>1</v>
      </c>
      <c r="U37" s="226">
        <v>1</v>
      </c>
      <c r="V37" s="210"/>
      <c r="W37" s="210"/>
      <c r="X37" s="210"/>
      <c r="Y37" s="226">
        <v>1</v>
      </c>
      <c r="Z37" s="210"/>
      <c r="AA37" s="210"/>
      <c r="AB37" s="210"/>
      <c r="AC37" s="210"/>
      <c r="AD37" s="210"/>
      <c r="AE37" s="210"/>
      <c r="AF37" s="210"/>
      <c r="AG37" s="210"/>
      <c r="AH37" s="210"/>
      <c r="AI37" s="210"/>
      <c r="AJ37" s="211"/>
      <c r="AK37" s="210"/>
      <c r="AL37" s="210"/>
      <c r="AM37" s="210"/>
      <c r="AN37" s="272"/>
      <c r="AO37" s="29"/>
      <c r="AP37" s="29"/>
      <c r="AQ37" s="29"/>
      <c r="AR37" s="29"/>
      <c r="AS37" s="29"/>
      <c r="AT37" s="29"/>
      <c r="AU37" s="29"/>
      <c r="AV37" s="29"/>
      <c r="AW37" s="29"/>
      <c r="AX37" s="29"/>
      <c r="AY37" s="29"/>
      <c r="AZ37" s="29"/>
      <c r="BA37" s="29"/>
      <c r="BB37" s="29"/>
      <c r="BC37" s="29"/>
      <c r="BD37" s="269"/>
      <c r="BE37" s="269"/>
      <c r="BF37" s="269"/>
      <c r="BG37" s="269"/>
      <c r="BH37" s="269"/>
      <c r="BI37" s="269"/>
      <c r="BJ37" s="269"/>
      <c r="BK37" s="269"/>
      <c r="BL37" s="269"/>
      <c r="BM37" s="269"/>
      <c r="BN37" s="269"/>
      <c r="BO37" s="269"/>
      <c r="BP37" s="269"/>
      <c r="BQ37" s="269"/>
      <c r="BR37" s="269"/>
      <c r="BS37" s="269"/>
      <c r="BT37" s="269"/>
      <c r="BU37" s="269"/>
      <c r="BV37" s="269"/>
      <c r="BW37" s="269"/>
      <c r="BX37" s="269"/>
      <c r="BY37" s="269"/>
      <c r="BZ37" s="269"/>
      <c r="CA37" s="269"/>
      <c r="CB37" s="269"/>
      <c r="CC37" s="269"/>
      <c r="CD37" s="269"/>
      <c r="CE37" s="269"/>
      <c r="CF37" s="269"/>
      <c r="CG37" s="269"/>
      <c r="CH37" s="269"/>
      <c r="CI37" s="269"/>
      <c r="CJ37" s="211"/>
      <c r="CK37" s="211"/>
      <c r="CL37" s="211"/>
      <c r="CM37" s="211"/>
      <c r="CN37" s="211"/>
      <c r="CO37" s="211"/>
      <c r="CP37" s="211"/>
      <c r="CQ37" s="211"/>
      <c r="CR37" s="270"/>
      <c r="CS37" s="270"/>
      <c r="CT37" s="211"/>
      <c r="CU37" s="211"/>
      <c r="CV37" s="211"/>
      <c r="CW37" s="211"/>
      <c r="CX37" s="211"/>
      <c r="CY37" s="211"/>
      <c r="CZ37" s="211"/>
      <c r="DA37" s="211"/>
      <c r="DB37" s="211"/>
      <c r="DC37" s="211"/>
      <c r="DD37" s="211"/>
      <c r="DE37" s="211"/>
      <c r="DF37" s="211"/>
      <c r="DG37" s="211"/>
      <c r="DH37" s="211"/>
      <c r="DI37" s="211"/>
      <c r="DJ37" s="211"/>
      <c r="DK37" s="211"/>
      <c r="DL37" s="212"/>
      <c r="DM37" s="212"/>
      <c r="DN37" s="210"/>
      <c r="DO37" s="210"/>
      <c r="DP37" s="211"/>
      <c r="DQ37" s="29"/>
      <c r="DR37" s="29"/>
      <c r="DS37" s="29"/>
      <c r="DT37" s="29"/>
      <c r="DU37" s="211"/>
      <c r="DV37" s="211"/>
      <c r="DW37" s="214"/>
      <c r="DX37" s="214"/>
      <c r="DY37" s="211"/>
      <c r="DZ37" s="211"/>
      <c r="EA37" s="211"/>
      <c r="EB37" s="211"/>
      <c r="EC37" s="211"/>
      <c r="ED37" s="211"/>
      <c r="EE37" s="211"/>
      <c r="EF37" s="211"/>
      <c r="EG37" s="211"/>
      <c r="EH37" s="211"/>
      <c r="EI37" s="212"/>
      <c r="EJ37" s="212"/>
      <c r="EK37" s="212"/>
      <c r="EL37" s="212"/>
      <c r="EM37" s="212"/>
      <c r="EN37" s="212"/>
      <c r="EO37" s="211"/>
      <c r="EP37" s="211"/>
      <c r="EQ37" s="211"/>
      <c r="ER37" s="211"/>
      <c r="ES37" s="211"/>
      <c r="ET37" s="211"/>
      <c r="EU37" s="211"/>
      <c r="EV37" s="211"/>
      <c r="EW37" s="211"/>
      <c r="EX37" s="211"/>
      <c r="EY37" s="211"/>
      <c r="EZ37" s="211"/>
      <c r="FA37" s="211"/>
      <c r="FB37" s="211"/>
      <c r="FC37" s="211"/>
      <c r="FD37" s="211"/>
      <c r="FE37" s="211"/>
      <c r="FF37" s="211"/>
      <c r="FG37" s="211"/>
      <c r="FH37" s="211"/>
      <c r="FI37" s="211"/>
      <c r="FJ37" s="211"/>
      <c r="FK37" s="211"/>
      <c r="FL37" s="211"/>
      <c r="FM37" s="211"/>
      <c r="FN37" s="211"/>
      <c r="FO37" s="211"/>
      <c r="FP37" s="211"/>
      <c r="FQ37" s="211"/>
      <c r="FR37" s="211"/>
      <c r="FS37" s="211"/>
      <c r="FT37" s="211"/>
      <c r="FU37" s="211"/>
      <c r="FV37" s="211"/>
      <c r="FW37" s="211"/>
      <c r="FX37" s="211"/>
      <c r="FY37" s="211"/>
      <c r="FZ37" s="211"/>
      <c r="GA37" s="211"/>
      <c r="GB37" s="211"/>
      <c r="GC37" s="211"/>
      <c r="GD37" s="211"/>
      <c r="GE37" s="211"/>
      <c r="GF37" s="211"/>
      <c r="GG37" s="211"/>
      <c r="GH37" s="211"/>
      <c r="GI37" s="211"/>
      <c r="GJ37" s="211"/>
      <c r="GK37" s="211"/>
      <c r="GL37" s="211"/>
      <c r="GM37" s="211"/>
      <c r="GN37" s="211"/>
      <c r="GO37" s="211"/>
      <c r="GP37" s="211"/>
      <c r="GQ37" s="211"/>
      <c r="GR37" s="211"/>
      <c r="GS37" s="211"/>
      <c r="GT37" s="211"/>
      <c r="GU37" s="211"/>
      <c r="GV37" s="211"/>
      <c r="GW37" s="211"/>
      <c r="GX37" s="211"/>
      <c r="GY37" s="211"/>
      <c r="GZ37" s="211"/>
      <c r="HA37" s="211"/>
      <c r="HB37" s="211"/>
      <c r="HC37" s="211"/>
      <c r="HD37" s="211"/>
      <c r="HE37" s="211"/>
      <c r="HF37" s="211"/>
    </row>
    <row r="38" spans="1:214" s="217" customFormat="1" ht="22.5" customHeight="1">
      <c r="A38" s="216"/>
      <c r="B38" s="216" t="s">
        <v>2178</v>
      </c>
      <c r="C38" s="216"/>
      <c r="D38" s="216"/>
      <c r="E38" s="216" t="s">
        <v>2179</v>
      </c>
      <c r="F38" s="212"/>
      <c r="G38" s="212">
        <v>1</v>
      </c>
      <c r="H38" s="200"/>
      <c r="I38" s="216"/>
      <c r="J38" s="210"/>
      <c r="K38" s="210"/>
      <c r="L38" s="210"/>
      <c r="M38" s="193"/>
      <c r="N38" s="193"/>
      <c r="O38" s="193"/>
      <c r="P38" s="193"/>
      <c r="Q38" s="193"/>
      <c r="R38" s="210"/>
      <c r="S38" s="210"/>
      <c r="T38" s="210"/>
      <c r="U38" s="210"/>
      <c r="V38" s="210"/>
      <c r="W38" s="210"/>
      <c r="X38" s="210"/>
      <c r="Y38" s="210"/>
      <c r="Z38" s="210"/>
      <c r="AA38" s="210"/>
      <c r="AB38" s="210"/>
      <c r="AC38" s="210"/>
      <c r="AD38" s="210"/>
      <c r="AE38" s="210"/>
      <c r="AF38" s="210"/>
      <c r="AG38" s="210"/>
      <c r="AH38" s="210"/>
      <c r="AI38" s="210"/>
      <c r="AJ38" s="211"/>
      <c r="AK38" s="210"/>
      <c r="AL38" s="210"/>
      <c r="AM38" s="210"/>
      <c r="AN38" s="272"/>
      <c r="AO38" s="210"/>
      <c r="AP38" s="210"/>
      <c r="AQ38" s="210"/>
      <c r="AR38" s="210"/>
      <c r="AS38" s="210"/>
      <c r="AT38" s="210"/>
      <c r="AU38" s="210"/>
      <c r="AV38" s="210"/>
      <c r="AW38" s="210"/>
      <c r="AX38" s="210"/>
      <c r="AY38" s="210"/>
      <c r="AZ38" s="210"/>
      <c r="BA38" s="210"/>
      <c r="BB38" s="210"/>
      <c r="BC38" s="210"/>
      <c r="BD38" s="269"/>
      <c r="BE38" s="269"/>
      <c r="BF38" s="269"/>
      <c r="BG38" s="269"/>
      <c r="BH38" s="269"/>
      <c r="BI38" s="269"/>
      <c r="BJ38" s="269"/>
      <c r="BK38" s="269"/>
      <c r="BL38" s="269"/>
      <c r="BM38" s="269"/>
      <c r="BN38" s="269"/>
      <c r="BO38" s="269"/>
      <c r="BP38" s="269"/>
      <c r="BQ38" s="269"/>
      <c r="BR38" s="269"/>
      <c r="BS38" s="269"/>
      <c r="BT38" s="269"/>
      <c r="BU38" s="269"/>
      <c r="BV38" s="269"/>
      <c r="BW38" s="269"/>
      <c r="BX38" s="269"/>
      <c r="BY38" s="269"/>
      <c r="BZ38" s="269"/>
      <c r="CA38" s="269"/>
      <c r="CB38" s="269"/>
      <c r="CC38" s="269"/>
      <c r="CD38" s="269"/>
      <c r="CE38" s="269"/>
      <c r="CF38" s="269"/>
      <c r="CG38" s="269"/>
      <c r="CH38" s="269"/>
      <c r="CI38" s="269"/>
      <c r="CJ38" s="212"/>
      <c r="CK38" s="212"/>
      <c r="CL38" s="212"/>
      <c r="CM38" s="212"/>
      <c r="CN38" s="212"/>
      <c r="CO38" s="212"/>
      <c r="CP38" s="212"/>
      <c r="CQ38" s="212"/>
      <c r="CR38" s="270"/>
      <c r="CS38" s="270"/>
      <c r="CT38" s="212"/>
      <c r="CU38" s="212"/>
      <c r="CV38" s="212"/>
      <c r="CW38" s="212"/>
      <c r="CX38" s="212"/>
      <c r="CY38" s="212"/>
      <c r="CZ38" s="212"/>
      <c r="DA38" s="212"/>
      <c r="DB38" s="212"/>
      <c r="DC38" s="212"/>
      <c r="DD38" s="212"/>
      <c r="DE38" s="212"/>
      <c r="DF38" s="212"/>
      <c r="DG38" s="212"/>
      <c r="DH38" s="212"/>
      <c r="DI38" s="212"/>
      <c r="DJ38" s="212"/>
      <c r="DK38" s="212"/>
      <c r="DL38" s="212"/>
      <c r="DM38" s="212"/>
      <c r="DN38" s="210"/>
      <c r="DO38" s="210"/>
      <c r="DP38" s="212"/>
      <c r="DQ38" s="210"/>
      <c r="DR38" s="210"/>
      <c r="DS38" s="210"/>
      <c r="DT38" s="210"/>
      <c r="DU38" s="212"/>
      <c r="DV38" s="212"/>
      <c r="DW38" s="214"/>
      <c r="DX38" s="214"/>
      <c r="DY38" s="212"/>
      <c r="DZ38" s="212"/>
      <c r="EA38" s="212"/>
      <c r="EB38" s="212"/>
      <c r="EC38" s="212"/>
      <c r="ED38" s="212"/>
      <c r="EE38" s="212"/>
      <c r="EF38" s="212"/>
      <c r="EG38" s="212"/>
      <c r="EH38" s="212"/>
      <c r="EI38" s="212"/>
      <c r="EJ38" s="212"/>
      <c r="EK38" s="212"/>
      <c r="EL38" s="212"/>
      <c r="EM38" s="212"/>
      <c r="EN38" s="212"/>
      <c r="EO38" s="212"/>
      <c r="EP38" s="212"/>
      <c r="EQ38" s="212"/>
      <c r="ER38" s="212"/>
      <c r="ES38" s="212"/>
      <c r="ET38" s="212"/>
      <c r="EU38" s="212"/>
      <c r="EV38" s="212"/>
      <c r="EW38" s="212"/>
      <c r="EX38" s="212"/>
      <c r="EY38" s="212"/>
      <c r="EZ38" s="212"/>
      <c r="FA38" s="212"/>
      <c r="FB38" s="212"/>
      <c r="FC38" s="212"/>
      <c r="FD38" s="212"/>
      <c r="FE38" s="212"/>
      <c r="FF38" s="212"/>
      <c r="FG38" s="212"/>
      <c r="FH38" s="212"/>
      <c r="FI38" s="212"/>
      <c r="FJ38" s="212"/>
      <c r="FK38" s="212"/>
      <c r="FL38" s="212"/>
      <c r="FM38" s="212"/>
      <c r="FN38" s="212"/>
      <c r="FO38" s="212"/>
      <c r="FP38" s="212"/>
      <c r="FQ38" s="212"/>
      <c r="FR38" s="212"/>
      <c r="FS38" s="212"/>
      <c r="FT38" s="212"/>
      <c r="FU38" s="212"/>
      <c r="FV38" s="212"/>
      <c r="FW38" s="212"/>
      <c r="FX38" s="212"/>
      <c r="FY38" s="212"/>
      <c r="FZ38" s="212"/>
      <c r="GA38" s="212"/>
      <c r="GB38" s="212"/>
      <c r="GC38" s="212"/>
      <c r="GD38" s="212"/>
      <c r="GE38" s="212"/>
      <c r="GF38" s="212"/>
      <c r="GG38" s="212"/>
      <c r="GH38" s="212"/>
      <c r="GI38" s="212"/>
      <c r="GJ38" s="212"/>
      <c r="GK38" s="212"/>
      <c r="GL38" s="212"/>
      <c r="GM38" s="212"/>
      <c r="GN38" s="212"/>
      <c r="GO38" s="212"/>
      <c r="GP38" s="212"/>
      <c r="GQ38" s="212"/>
      <c r="GR38" s="212"/>
      <c r="GS38" s="212"/>
      <c r="GT38" s="212"/>
      <c r="GU38" s="212"/>
      <c r="GV38" s="212"/>
      <c r="GW38" s="212"/>
      <c r="GX38" s="212"/>
      <c r="GY38" s="212"/>
      <c r="GZ38" s="212"/>
      <c r="HA38" s="212"/>
      <c r="HB38" s="212"/>
      <c r="HC38" s="212"/>
      <c r="HD38" s="212"/>
      <c r="HE38" s="212"/>
      <c r="HF38" s="212"/>
    </row>
    <row r="39" spans="1:214" ht="22.5" customHeight="1">
      <c r="A39" s="201"/>
      <c r="B39" s="227"/>
      <c r="C39" s="218"/>
      <c r="D39" s="225"/>
      <c r="E39" s="28"/>
      <c r="F39" s="211"/>
      <c r="G39" s="211"/>
      <c r="H39" s="29"/>
      <c r="I39" s="28"/>
      <c r="J39" s="210"/>
      <c r="K39" s="210"/>
      <c r="L39" s="210"/>
      <c r="M39" s="193"/>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1"/>
      <c r="AK39" s="210"/>
      <c r="AL39" s="210"/>
      <c r="AM39" s="210"/>
      <c r="AN39" s="272"/>
      <c r="AO39" s="29"/>
      <c r="AP39" s="29"/>
      <c r="AQ39" s="29"/>
      <c r="AR39" s="29"/>
      <c r="AS39" s="29"/>
      <c r="AT39" s="29"/>
      <c r="AU39" s="29"/>
      <c r="AV39" s="29"/>
      <c r="AW39" s="29"/>
      <c r="AX39" s="29"/>
      <c r="AY39" s="29"/>
      <c r="AZ39" s="29"/>
      <c r="BA39" s="29"/>
      <c r="BB39" s="29"/>
      <c r="BC39" s="29"/>
      <c r="BD39" s="269"/>
      <c r="BE39" s="269"/>
      <c r="BF39" s="269"/>
      <c r="BG39" s="269"/>
      <c r="BH39" s="269"/>
      <c r="BI39" s="269"/>
      <c r="BJ39" s="269"/>
      <c r="BK39" s="269"/>
      <c r="BL39" s="269"/>
      <c r="BM39" s="269"/>
      <c r="BN39" s="269"/>
      <c r="BO39" s="269"/>
      <c r="BP39" s="269"/>
      <c r="BQ39" s="269"/>
      <c r="BR39" s="269"/>
      <c r="BS39" s="269"/>
      <c r="BT39" s="269"/>
      <c r="BU39" s="269"/>
      <c r="BV39" s="269"/>
      <c r="BW39" s="269"/>
      <c r="BX39" s="269"/>
      <c r="BY39" s="269"/>
      <c r="BZ39" s="269"/>
      <c r="CA39" s="269"/>
      <c r="CB39" s="269"/>
      <c r="CC39" s="269"/>
      <c r="CD39" s="269"/>
      <c r="CE39" s="269"/>
      <c r="CF39" s="269"/>
      <c r="CG39" s="269"/>
      <c r="CH39" s="269"/>
      <c r="CI39" s="269"/>
      <c r="CJ39" s="211"/>
      <c r="CK39" s="211"/>
      <c r="CL39" s="211"/>
      <c r="CM39" s="211"/>
      <c r="CN39" s="211"/>
      <c r="CO39" s="211"/>
      <c r="CP39" s="211"/>
      <c r="CQ39" s="211"/>
      <c r="CR39" s="270"/>
      <c r="CS39" s="270"/>
      <c r="CT39" s="211"/>
      <c r="CU39" s="211"/>
      <c r="CV39" s="211"/>
      <c r="CW39" s="211"/>
      <c r="CX39" s="211"/>
      <c r="CY39" s="211"/>
      <c r="CZ39" s="211"/>
      <c r="DA39" s="211"/>
      <c r="DB39" s="211"/>
      <c r="DC39" s="211"/>
      <c r="DD39" s="211"/>
      <c r="DE39" s="211"/>
      <c r="DF39" s="211"/>
      <c r="DG39" s="211"/>
      <c r="DH39" s="211"/>
      <c r="DI39" s="211"/>
      <c r="DJ39" s="211"/>
      <c r="DK39" s="211"/>
      <c r="DL39" s="212"/>
      <c r="DM39" s="212"/>
      <c r="DN39" s="210"/>
      <c r="DO39" s="210"/>
      <c r="DP39" s="211"/>
      <c r="DQ39" s="29"/>
      <c r="DR39" s="29"/>
      <c r="DS39" s="29"/>
      <c r="DT39" s="29"/>
      <c r="DU39" s="211"/>
      <c r="DV39" s="211"/>
      <c r="DW39" s="214"/>
      <c r="DX39" s="214"/>
      <c r="DY39" s="211"/>
      <c r="DZ39" s="211"/>
      <c r="EA39" s="211"/>
      <c r="EB39" s="211"/>
      <c r="EC39" s="211"/>
      <c r="ED39" s="211"/>
      <c r="EE39" s="211"/>
      <c r="EF39" s="211"/>
      <c r="EG39" s="211"/>
      <c r="EH39" s="211"/>
      <c r="EI39" s="212"/>
      <c r="EJ39" s="212"/>
      <c r="EK39" s="212"/>
      <c r="EL39" s="212"/>
      <c r="EM39" s="212"/>
      <c r="EN39" s="212"/>
      <c r="EO39" s="211"/>
      <c r="EP39" s="211"/>
      <c r="EQ39" s="211"/>
      <c r="ER39" s="211"/>
      <c r="ES39" s="211"/>
      <c r="ET39" s="211"/>
      <c r="EU39" s="211"/>
      <c r="EV39" s="211"/>
      <c r="EW39" s="211"/>
      <c r="EX39" s="211"/>
      <c r="EY39" s="211"/>
      <c r="EZ39" s="211"/>
      <c r="FA39" s="211"/>
      <c r="FB39" s="211"/>
      <c r="FC39" s="211"/>
      <c r="FD39" s="211"/>
      <c r="FE39" s="211"/>
      <c r="FF39" s="211"/>
      <c r="FG39" s="211"/>
      <c r="FH39" s="211"/>
      <c r="FI39" s="211"/>
      <c r="FJ39" s="211"/>
      <c r="FK39" s="211"/>
      <c r="FL39" s="211"/>
      <c r="FM39" s="211"/>
      <c r="FN39" s="211"/>
      <c r="FO39" s="211"/>
      <c r="FP39" s="211"/>
      <c r="FQ39" s="211"/>
      <c r="FR39" s="211"/>
      <c r="FS39" s="211"/>
      <c r="FT39" s="211"/>
      <c r="FU39" s="211"/>
      <c r="FV39" s="211"/>
      <c r="FW39" s="211"/>
      <c r="FX39" s="211"/>
      <c r="FY39" s="211"/>
      <c r="FZ39" s="211"/>
      <c r="GA39" s="211"/>
      <c r="GB39" s="211"/>
      <c r="GC39" s="211"/>
      <c r="GD39" s="211"/>
      <c r="GE39" s="211"/>
      <c r="GF39" s="211"/>
      <c r="GG39" s="211"/>
      <c r="GH39" s="211"/>
      <c r="GI39" s="211"/>
      <c r="GJ39" s="211"/>
      <c r="GK39" s="211"/>
      <c r="GL39" s="211"/>
      <c r="GM39" s="211"/>
      <c r="GN39" s="211"/>
      <c r="GO39" s="211"/>
      <c r="GP39" s="211"/>
      <c r="GQ39" s="211"/>
      <c r="GR39" s="211"/>
      <c r="GS39" s="211"/>
      <c r="GT39" s="211"/>
      <c r="GU39" s="211"/>
      <c r="GV39" s="211"/>
      <c r="GW39" s="211"/>
      <c r="GX39" s="211"/>
      <c r="GY39" s="211"/>
      <c r="GZ39" s="211"/>
      <c r="HA39" s="211"/>
      <c r="HB39" s="211"/>
      <c r="HC39" s="211"/>
      <c r="HD39" s="211"/>
      <c r="HE39" s="211"/>
      <c r="HF39" s="211"/>
    </row>
    <row r="40" spans="36:144" ht="22.5" customHeight="1">
      <c r="AJ40" s="222"/>
      <c r="AK40" s="228"/>
      <c r="AL40" s="228"/>
      <c r="CR40" s="234"/>
      <c r="CS40" s="234"/>
      <c r="DL40" s="258"/>
      <c r="DM40" s="258"/>
      <c r="DN40" s="209"/>
      <c r="DO40" s="209"/>
      <c r="EI40" s="258"/>
      <c r="EJ40" s="258"/>
      <c r="EK40" s="258"/>
      <c r="EL40" s="258"/>
      <c r="EM40" s="258"/>
      <c r="EN40" s="258"/>
    </row>
    <row r="41" spans="36:144" ht="22.5" customHeight="1">
      <c r="AJ41" s="222"/>
      <c r="AK41" s="228"/>
      <c r="AL41" s="228"/>
      <c r="CR41" s="234"/>
      <c r="CS41" s="234"/>
      <c r="DL41" s="219"/>
      <c r="DM41" s="219"/>
      <c r="DN41" s="210"/>
      <c r="DO41" s="210"/>
      <c r="EI41" s="219"/>
      <c r="EJ41" s="219"/>
      <c r="EK41" s="219"/>
      <c r="EL41" s="219"/>
      <c r="EM41" s="219"/>
      <c r="EN41" s="219"/>
    </row>
    <row r="42" spans="36:144" ht="22.5" customHeight="1">
      <c r="AJ42" s="222"/>
      <c r="AK42" s="228"/>
      <c r="AL42" s="228"/>
      <c r="CR42" s="234"/>
      <c r="CS42" s="234"/>
      <c r="DL42" s="219"/>
      <c r="DM42" s="219"/>
      <c r="DN42" s="210"/>
      <c r="DO42" s="210"/>
      <c r="EI42" s="219"/>
      <c r="EJ42" s="219"/>
      <c r="EK42" s="219"/>
      <c r="EL42" s="219"/>
      <c r="EM42" s="219"/>
      <c r="EN42" s="219"/>
    </row>
    <row r="43" spans="36:144" ht="22.5" customHeight="1">
      <c r="AJ43" s="222"/>
      <c r="AK43" s="228"/>
      <c r="AL43" s="228"/>
      <c r="CR43" s="234"/>
      <c r="CS43" s="234"/>
      <c r="DL43" s="219"/>
      <c r="DM43" s="219"/>
      <c r="DN43" s="210"/>
      <c r="DO43" s="210"/>
      <c r="EI43" s="219"/>
      <c r="EJ43" s="219"/>
      <c r="EK43" s="219"/>
      <c r="EL43" s="219"/>
      <c r="EM43" s="219"/>
      <c r="EN43" s="219"/>
    </row>
    <row r="44" spans="36:144" ht="22.5" customHeight="1">
      <c r="AJ44" s="222"/>
      <c r="AK44" s="228"/>
      <c r="AL44" s="228"/>
      <c r="CR44" s="234"/>
      <c r="CS44" s="234"/>
      <c r="DL44" s="219"/>
      <c r="DM44" s="219"/>
      <c r="DN44" s="210"/>
      <c r="DO44" s="210"/>
      <c r="EI44" s="219"/>
      <c r="EJ44" s="219"/>
      <c r="EK44" s="219"/>
      <c r="EL44" s="219"/>
      <c r="EM44" s="219"/>
      <c r="EN44" s="219"/>
    </row>
    <row r="45" spans="36:144" ht="22.5" customHeight="1">
      <c r="AJ45" s="222"/>
      <c r="AK45" s="228"/>
      <c r="AL45" s="228"/>
      <c r="CR45" s="234"/>
      <c r="CS45" s="234"/>
      <c r="DL45" s="219"/>
      <c r="DM45" s="219"/>
      <c r="DN45" s="210"/>
      <c r="DO45" s="210"/>
      <c r="EI45" s="219"/>
      <c r="EJ45" s="219"/>
      <c r="EK45" s="219"/>
      <c r="EL45" s="219"/>
      <c r="EM45" s="219"/>
      <c r="EN45" s="219"/>
    </row>
    <row r="46" spans="36:144" ht="22.5" customHeight="1">
      <c r="AJ46" s="222"/>
      <c r="AK46" s="228"/>
      <c r="AL46" s="228"/>
      <c r="CR46" s="234"/>
      <c r="CS46" s="234"/>
      <c r="DL46" s="219"/>
      <c r="DM46" s="219"/>
      <c r="DN46" s="210"/>
      <c r="DO46" s="210"/>
      <c r="EI46" s="219"/>
      <c r="EJ46" s="219"/>
      <c r="EK46" s="219"/>
      <c r="EL46" s="219"/>
      <c r="EM46" s="219"/>
      <c r="EN46" s="219"/>
    </row>
    <row r="47" spans="36:144" ht="22.5" customHeight="1">
      <c r="AJ47" s="222"/>
      <c r="AK47" s="228"/>
      <c r="AL47" s="228"/>
      <c r="CR47" s="234"/>
      <c r="CS47" s="234"/>
      <c r="DL47" s="219"/>
      <c r="DM47" s="219"/>
      <c r="DN47" s="210"/>
      <c r="DO47" s="210"/>
      <c r="EI47" s="219"/>
      <c r="EJ47" s="219"/>
      <c r="EK47" s="219"/>
      <c r="EL47" s="219"/>
      <c r="EM47" s="219"/>
      <c r="EN47" s="219"/>
    </row>
    <row r="48" spans="36:144" ht="22.5" customHeight="1">
      <c r="AJ48" s="222"/>
      <c r="AK48" s="228"/>
      <c r="AL48" s="228"/>
      <c r="CR48" s="234"/>
      <c r="CS48" s="234"/>
      <c r="DL48" s="219"/>
      <c r="DM48" s="219"/>
      <c r="DN48" s="210"/>
      <c r="DO48" s="210"/>
      <c r="EI48" s="219"/>
      <c r="EJ48" s="219"/>
      <c r="EK48" s="219"/>
      <c r="EL48" s="219"/>
      <c r="EM48" s="219"/>
      <c r="EN48" s="219"/>
    </row>
    <row r="49" spans="36:144" ht="22.5" customHeight="1">
      <c r="AJ49" s="222"/>
      <c r="AK49" s="228"/>
      <c r="AL49" s="228"/>
      <c r="CR49" s="234"/>
      <c r="CS49" s="234"/>
      <c r="DL49" s="219"/>
      <c r="DM49" s="219"/>
      <c r="DN49" s="210"/>
      <c r="DO49" s="210"/>
      <c r="EI49" s="219"/>
      <c r="EJ49" s="219"/>
      <c r="EK49" s="219"/>
      <c r="EL49" s="219"/>
      <c r="EM49" s="219"/>
      <c r="EN49" s="219"/>
    </row>
    <row r="50" spans="36:144" ht="22.5" customHeight="1">
      <c r="AJ50" s="222"/>
      <c r="AK50" s="228"/>
      <c r="AL50" s="228"/>
      <c r="CR50" s="234"/>
      <c r="CS50" s="234"/>
      <c r="DL50" s="219"/>
      <c r="DM50" s="219"/>
      <c r="DN50" s="210"/>
      <c r="DO50" s="210"/>
      <c r="EI50" s="219"/>
      <c r="EJ50" s="219"/>
      <c r="EK50" s="219"/>
      <c r="EL50" s="219"/>
      <c r="EM50" s="219"/>
      <c r="EN50" s="219"/>
    </row>
    <row r="51" spans="1:144" ht="22.5" customHeight="1">
      <c r="A51" s="222"/>
      <c r="B51" s="222"/>
      <c r="D51" s="222"/>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8"/>
      <c r="AL51" s="228"/>
      <c r="AM51" s="222"/>
      <c r="AN51" s="222"/>
      <c r="AO51" s="222"/>
      <c r="AP51" s="222"/>
      <c r="AQ51" s="222"/>
      <c r="AR51" s="222"/>
      <c r="AS51" s="222"/>
      <c r="AT51" s="222"/>
      <c r="AU51" s="222"/>
      <c r="AV51" s="222"/>
      <c r="AW51" s="222"/>
      <c r="AX51" s="222"/>
      <c r="AY51" s="222"/>
      <c r="AZ51" s="222"/>
      <c r="BA51" s="222"/>
      <c r="BB51" s="222"/>
      <c r="BC51" s="222"/>
      <c r="CR51" s="234"/>
      <c r="CS51" s="234"/>
      <c r="DL51" s="219"/>
      <c r="DM51" s="219"/>
      <c r="DN51" s="210"/>
      <c r="DO51" s="210"/>
      <c r="DQ51" s="222"/>
      <c r="DR51" s="222"/>
      <c r="DS51" s="222"/>
      <c r="DT51" s="222"/>
      <c r="DW51" s="222"/>
      <c r="DX51" s="222"/>
      <c r="EI51" s="219"/>
      <c r="EJ51" s="219"/>
      <c r="EK51" s="219"/>
      <c r="EL51" s="219"/>
      <c r="EM51" s="219"/>
      <c r="EN51" s="219"/>
    </row>
    <row r="52" spans="1:144" ht="22.5" customHeight="1">
      <c r="A52" s="222"/>
      <c r="B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8"/>
      <c r="AL52" s="228"/>
      <c r="AM52" s="222"/>
      <c r="AN52" s="222"/>
      <c r="AO52" s="222"/>
      <c r="AP52" s="222"/>
      <c r="AQ52" s="222"/>
      <c r="AR52" s="222"/>
      <c r="AS52" s="222"/>
      <c r="AT52" s="222"/>
      <c r="AU52" s="222"/>
      <c r="AV52" s="222"/>
      <c r="AW52" s="222"/>
      <c r="AX52" s="222"/>
      <c r="AY52" s="222"/>
      <c r="AZ52" s="222"/>
      <c r="BA52" s="222"/>
      <c r="BB52" s="222"/>
      <c r="BC52" s="222"/>
      <c r="CR52" s="234"/>
      <c r="CS52" s="234"/>
      <c r="DL52" s="219"/>
      <c r="DM52" s="219"/>
      <c r="DN52" s="210"/>
      <c r="DO52" s="210"/>
      <c r="DQ52" s="222"/>
      <c r="DR52" s="222"/>
      <c r="DS52" s="222"/>
      <c r="DT52" s="222"/>
      <c r="DW52" s="222"/>
      <c r="DX52" s="222"/>
      <c r="EI52" s="219"/>
      <c r="EJ52" s="219"/>
      <c r="EK52" s="219"/>
      <c r="EL52" s="219"/>
      <c r="EM52" s="219"/>
      <c r="EN52" s="219"/>
    </row>
    <row r="53" spans="1:144" ht="22.5" customHeight="1">
      <c r="A53" s="222"/>
      <c r="B53" s="222"/>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8"/>
      <c r="AL53" s="228"/>
      <c r="AM53" s="222"/>
      <c r="AN53" s="222"/>
      <c r="AO53" s="222"/>
      <c r="AP53" s="222"/>
      <c r="AQ53" s="222"/>
      <c r="AR53" s="222"/>
      <c r="AS53" s="222"/>
      <c r="AT53" s="222"/>
      <c r="AU53" s="222"/>
      <c r="AV53" s="222"/>
      <c r="AW53" s="222"/>
      <c r="AX53" s="222"/>
      <c r="AY53" s="222"/>
      <c r="AZ53" s="222"/>
      <c r="BA53" s="222"/>
      <c r="BB53" s="222"/>
      <c r="BC53" s="222"/>
      <c r="CR53" s="234"/>
      <c r="CS53" s="234"/>
      <c r="DL53" s="219"/>
      <c r="DM53" s="219"/>
      <c r="DN53" s="210"/>
      <c r="DO53" s="210"/>
      <c r="DQ53" s="222"/>
      <c r="DR53" s="222"/>
      <c r="DS53" s="222"/>
      <c r="DT53" s="222"/>
      <c r="DW53" s="222"/>
      <c r="DX53" s="222"/>
      <c r="EI53" s="219"/>
      <c r="EJ53" s="219"/>
      <c r="EK53" s="219"/>
      <c r="EL53" s="219"/>
      <c r="EM53" s="219"/>
      <c r="EN53" s="219"/>
    </row>
    <row r="54" spans="1:144" ht="22.5" customHeight="1">
      <c r="A54" s="222"/>
      <c r="B54" s="222"/>
      <c r="D54" s="222"/>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8"/>
      <c r="AL54" s="228"/>
      <c r="AM54" s="222"/>
      <c r="AN54" s="222"/>
      <c r="AO54" s="222"/>
      <c r="AP54" s="222"/>
      <c r="AQ54" s="222"/>
      <c r="AR54" s="222"/>
      <c r="AS54" s="222"/>
      <c r="AT54" s="222"/>
      <c r="AU54" s="222"/>
      <c r="AV54" s="222"/>
      <c r="AW54" s="222"/>
      <c r="AX54" s="222"/>
      <c r="AY54" s="222"/>
      <c r="AZ54" s="222"/>
      <c r="BA54" s="222"/>
      <c r="BB54" s="222"/>
      <c r="BC54" s="222"/>
      <c r="CR54" s="234"/>
      <c r="CS54" s="234"/>
      <c r="DL54" s="219"/>
      <c r="DM54" s="219"/>
      <c r="DN54" s="210"/>
      <c r="DO54" s="210"/>
      <c r="DQ54" s="222"/>
      <c r="DR54" s="222"/>
      <c r="DS54" s="222"/>
      <c r="DT54" s="222"/>
      <c r="DW54" s="222"/>
      <c r="DX54" s="222"/>
      <c r="EI54" s="219"/>
      <c r="EJ54" s="219"/>
      <c r="EK54" s="219"/>
      <c r="EL54" s="219"/>
      <c r="EM54" s="219"/>
      <c r="EN54" s="219"/>
    </row>
    <row r="55" spans="1:144" ht="22.5" customHeight="1">
      <c r="A55" s="222"/>
      <c r="B55" s="222"/>
      <c r="D55" s="222"/>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8"/>
      <c r="AL55" s="228"/>
      <c r="AM55" s="222"/>
      <c r="AN55" s="222"/>
      <c r="AO55" s="222"/>
      <c r="AP55" s="222"/>
      <c r="AQ55" s="222"/>
      <c r="AR55" s="222"/>
      <c r="AS55" s="222"/>
      <c r="AT55" s="222"/>
      <c r="AU55" s="222"/>
      <c r="AV55" s="222"/>
      <c r="AW55" s="222"/>
      <c r="AX55" s="222"/>
      <c r="AY55" s="222"/>
      <c r="AZ55" s="222"/>
      <c r="BA55" s="222"/>
      <c r="BB55" s="222"/>
      <c r="BC55" s="222"/>
      <c r="CR55" s="234"/>
      <c r="CS55" s="234"/>
      <c r="DL55" s="219"/>
      <c r="DM55" s="219"/>
      <c r="DN55" s="210"/>
      <c r="DO55" s="210"/>
      <c r="DQ55" s="222"/>
      <c r="DR55" s="222"/>
      <c r="DS55" s="222"/>
      <c r="DT55" s="222"/>
      <c r="DW55" s="222"/>
      <c r="DX55" s="222"/>
      <c r="EI55" s="219"/>
      <c r="EJ55" s="219"/>
      <c r="EK55" s="219"/>
      <c r="EL55" s="219"/>
      <c r="EM55" s="219"/>
      <c r="EN55" s="219"/>
    </row>
    <row r="56" spans="1:144" ht="22.5" customHeight="1">
      <c r="A56" s="222"/>
      <c r="B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8"/>
      <c r="AL56" s="228"/>
      <c r="AM56" s="222"/>
      <c r="AN56" s="222"/>
      <c r="AO56" s="222"/>
      <c r="AP56" s="222"/>
      <c r="AQ56" s="222"/>
      <c r="AR56" s="222"/>
      <c r="AS56" s="222"/>
      <c r="AT56" s="222"/>
      <c r="AU56" s="222"/>
      <c r="AV56" s="222"/>
      <c r="AW56" s="222"/>
      <c r="AX56" s="222"/>
      <c r="AY56" s="222"/>
      <c r="AZ56" s="222"/>
      <c r="BA56" s="222"/>
      <c r="BB56" s="222"/>
      <c r="BC56" s="222"/>
      <c r="CR56" s="234"/>
      <c r="CS56" s="234"/>
      <c r="DL56" s="219"/>
      <c r="DM56" s="219"/>
      <c r="DN56" s="210"/>
      <c r="DO56" s="210"/>
      <c r="DQ56" s="222"/>
      <c r="DR56" s="222"/>
      <c r="DS56" s="222"/>
      <c r="DT56" s="222"/>
      <c r="DW56" s="222"/>
      <c r="DX56" s="222"/>
      <c r="EI56" s="219"/>
      <c r="EJ56" s="219"/>
      <c r="EK56" s="219"/>
      <c r="EL56" s="219"/>
      <c r="EM56" s="219"/>
      <c r="EN56" s="219"/>
    </row>
    <row r="57" spans="1:144" ht="22.5" customHeight="1">
      <c r="A57" s="222"/>
      <c r="B57" s="222"/>
      <c r="D57" s="222"/>
      <c r="E57" s="222"/>
      <c r="F57" s="222"/>
      <c r="G57" s="222"/>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8"/>
      <c r="AL57" s="228"/>
      <c r="AM57" s="222"/>
      <c r="AN57" s="222"/>
      <c r="AO57" s="222"/>
      <c r="AP57" s="222"/>
      <c r="AQ57" s="222"/>
      <c r="AR57" s="222"/>
      <c r="AS57" s="222"/>
      <c r="AT57" s="222"/>
      <c r="AU57" s="222"/>
      <c r="AV57" s="222"/>
      <c r="AW57" s="222"/>
      <c r="AX57" s="222"/>
      <c r="AY57" s="222"/>
      <c r="AZ57" s="222"/>
      <c r="BA57" s="222"/>
      <c r="BB57" s="222"/>
      <c r="BC57" s="222"/>
      <c r="CR57" s="234"/>
      <c r="CS57" s="234"/>
      <c r="DL57" s="219"/>
      <c r="DM57" s="219"/>
      <c r="DN57" s="210"/>
      <c r="DO57" s="210"/>
      <c r="DQ57" s="222"/>
      <c r="DR57" s="222"/>
      <c r="DS57" s="222"/>
      <c r="DT57" s="222"/>
      <c r="DW57" s="222"/>
      <c r="DX57" s="222"/>
      <c r="EI57" s="219"/>
      <c r="EJ57" s="219"/>
      <c r="EK57" s="219"/>
      <c r="EL57" s="219"/>
      <c r="EM57" s="219"/>
      <c r="EN57" s="219"/>
    </row>
    <row r="58" spans="1:144" ht="22.5" customHeight="1">
      <c r="A58" s="222"/>
      <c r="B58" s="222"/>
      <c r="D58" s="222"/>
      <c r="E58" s="222"/>
      <c r="F58" s="222"/>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8"/>
      <c r="AL58" s="228"/>
      <c r="AM58" s="222"/>
      <c r="AN58" s="222"/>
      <c r="AO58" s="222"/>
      <c r="AP58" s="222"/>
      <c r="AQ58" s="222"/>
      <c r="AR58" s="222"/>
      <c r="AS58" s="222"/>
      <c r="AT58" s="222"/>
      <c r="AU58" s="222"/>
      <c r="AV58" s="222"/>
      <c r="AW58" s="222"/>
      <c r="AX58" s="222"/>
      <c r="AY58" s="222"/>
      <c r="AZ58" s="222"/>
      <c r="BA58" s="222"/>
      <c r="BB58" s="222"/>
      <c r="BC58" s="222"/>
      <c r="CR58" s="234"/>
      <c r="CS58" s="234"/>
      <c r="DL58" s="219"/>
      <c r="DM58" s="219"/>
      <c r="DN58" s="210"/>
      <c r="DO58" s="210"/>
      <c r="DQ58" s="222"/>
      <c r="DR58" s="222"/>
      <c r="DS58" s="222"/>
      <c r="DT58" s="222"/>
      <c r="DW58" s="222"/>
      <c r="DX58" s="222"/>
      <c r="EI58" s="219"/>
      <c r="EJ58" s="219"/>
      <c r="EK58" s="219"/>
      <c r="EL58" s="219"/>
      <c r="EM58" s="219"/>
      <c r="EN58" s="219"/>
    </row>
    <row r="59" spans="1:144" ht="22.5" customHeight="1">
      <c r="A59" s="222"/>
      <c r="B59" s="222"/>
      <c r="D59" s="222"/>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2"/>
      <c r="AI59" s="222"/>
      <c r="AJ59" s="222"/>
      <c r="AK59" s="228"/>
      <c r="AL59" s="228"/>
      <c r="AM59" s="222"/>
      <c r="AN59" s="222"/>
      <c r="AO59" s="222"/>
      <c r="AP59" s="222"/>
      <c r="AQ59" s="222"/>
      <c r="AR59" s="222"/>
      <c r="AS59" s="222"/>
      <c r="AT59" s="222"/>
      <c r="AU59" s="222"/>
      <c r="AV59" s="222"/>
      <c r="AW59" s="222"/>
      <c r="AX59" s="222"/>
      <c r="AY59" s="222"/>
      <c r="AZ59" s="222"/>
      <c r="BA59" s="222"/>
      <c r="BB59" s="222"/>
      <c r="BC59" s="222"/>
      <c r="CR59" s="234"/>
      <c r="CS59" s="234"/>
      <c r="DL59" s="219"/>
      <c r="DM59" s="219"/>
      <c r="DN59" s="210"/>
      <c r="DO59" s="210"/>
      <c r="DQ59" s="222"/>
      <c r="DR59" s="222"/>
      <c r="DS59" s="222"/>
      <c r="DT59" s="222"/>
      <c r="DW59" s="222"/>
      <c r="DX59" s="222"/>
      <c r="EI59" s="219"/>
      <c r="EJ59" s="219"/>
      <c r="EK59" s="219"/>
      <c r="EL59" s="219"/>
      <c r="EM59" s="219"/>
      <c r="EN59" s="219"/>
    </row>
    <row r="60" spans="1:144" ht="22.5" customHeight="1">
      <c r="A60" s="222"/>
      <c r="B60" s="222"/>
      <c r="D60" s="222"/>
      <c r="E60" s="222"/>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c r="AK60" s="228"/>
      <c r="AL60" s="228"/>
      <c r="AM60" s="222"/>
      <c r="AN60" s="222"/>
      <c r="AO60" s="222"/>
      <c r="AP60" s="222"/>
      <c r="AQ60" s="222"/>
      <c r="AR60" s="222"/>
      <c r="AS60" s="222"/>
      <c r="AT60" s="222"/>
      <c r="AU60" s="222"/>
      <c r="AV60" s="222"/>
      <c r="AW60" s="222"/>
      <c r="AX60" s="222"/>
      <c r="AY60" s="222"/>
      <c r="AZ60" s="222"/>
      <c r="BA60" s="222"/>
      <c r="BB60" s="222"/>
      <c r="BC60" s="222"/>
      <c r="CR60" s="234"/>
      <c r="CS60" s="234"/>
      <c r="DL60" s="219"/>
      <c r="DM60" s="219"/>
      <c r="DN60" s="210"/>
      <c r="DO60" s="210"/>
      <c r="DQ60" s="222"/>
      <c r="DR60" s="222"/>
      <c r="DS60" s="222"/>
      <c r="DT60" s="222"/>
      <c r="DW60" s="222"/>
      <c r="DX60" s="222"/>
      <c r="EI60" s="219"/>
      <c r="EJ60" s="219"/>
      <c r="EK60" s="219"/>
      <c r="EL60" s="219"/>
      <c r="EM60" s="219"/>
      <c r="EN60" s="219"/>
    </row>
    <row r="61" spans="1:144" ht="22.5" customHeight="1">
      <c r="A61" s="222"/>
      <c r="B61" s="222"/>
      <c r="D61" s="222"/>
      <c r="E61" s="222"/>
      <c r="F61" s="222"/>
      <c r="G61" s="222"/>
      <c r="H61" s="222"/>
      <c r="I61" s="222"/>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2"/>
      <c r="AK61" s="228"/>
      <c r="AL61" s="228"/>
      <c r="AM61" s="222"/>
      <c r="AN61" s="222"/>
      <c r="AO61" s="222"/>
      <c r="AP61" s="222"/>
      <c r="AQ61" s="222"/>
      <c r="AR61" s="222"/>
      <c r="AS61" s="222"/>
      <c r="AT61" s="222"/>
      <c r="AU61" s="222"/>
      <c r="AV61" s="222"/>
      <c r="AW61" s="222"/>
      <c r="AX61" s="222"/>
      <c r="AY61" s="222"/>
      <c r="AZ61" s="222"/>
      <c r="BA61" s="222"/>
      <c r="BB61" s="222"/>
      <c r="BC61" s="222"/>
      <c r="CR61" s="234"/>
      <c r="CS61" s="234"/>
      <c r="DL61" s="219"/>
      <c r="DM61" s="219"/>
      <c r="DN61" s="210"/>
      <c r="DO61" s="210"/>
      <c r="DQ61" s="222"/>
      <c r="DR61" s="222"/>
      <c r="DS61" s="222"/>
      <c r="DT61" s="222"/>
      <c r="DW61" s="222"/>
      <c r="DX61" s="222"/>
      <c r="EI61" s="219"/>
      <c r="EJ61" s="219"/>
      <c r="EK61" s="219"/>
      <c r="EL61" s="219"/>
      <c r="EM61" s="219"/>
      <c r="EN61" s="219"/>
    </row>
    <row r="62" spans="1:144" ht="22.5" customHeight="1">
      <c r="A62" s="222"/>
      <c r="B62" s="222"/>
      <c r="D62" s="222"/>
      <c r="E62" s="222"/>
      <c r="F62" s="222"/>
      <c r="G62" s="222"/>
      <c r="H62" s="222"/>
      <c r="I62" s="222"/>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c r="AK62" s="228"/>
      <c r="AL62" s="228"/>
      <c r="AM62" s="222"/>
      <c r="AN62" s="222"/>
      <c r="AO62" s="222"/>
      <c r="AP62" s="222"/>
      <c r="AQ62" s="222"/>
      <c r="AR62" s="222"/>
      <c r="AS62" s="222"/>
      <c r="AT62" s="222"/>
      <c r="AU62" s="222"/>
      <c r="AV62" s="222"/>
      <c r="AW62" s="222"/>
      <c r="AX62" s="222"/>
      <c r="AY62" s="222"/>
      <c r="AZ62" s="222"/>
      <c r="BA62" s="222"/>
      <c r="BB62" s="222"/>
      <c r="BC62" s="222"/>
      <c r="CR62" s="234"/>
      <c r="CS62" s="234"/>
      <c r="DL62" s="219"/>
      <c r="DM62" s="219"/>
      <c r="DN62" s="210"/>
      <c r="DO62" s="210"/>
      <c r="DQ62" s="222"/>
      <c r="DR62" s="222"/>
      <c r="DS62" s="222"/>
      <c r="DT62" s="222"/>
      <c r="DW62" s="222"/>
      <c r="DX62" s="222"/>
      <c r="EI62" s="219"/>
      <c r="EJ62" s="219"/>
      <c r="EK62" s="219"/>
      <c r="EL62" s="219"/>
      <c r="EM62" s="219"/>
      <c r="EN62" s="219"/>
    </row>
    <row r="63" spans="1:144" ht="22.5" customHeight="1">
      <c r="A63" s="222"/>
      <c r="B63" s="222"/>
      <c r="D63" s="222"/>
      <c r="E63" s="222"/>
      <c r="F63" s="222"/>
      <c r="G63" s="222"/>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8"/>
      <c r="AL63" s="228"/>
      <c r="AM63" s="222"/>
      <c r="AN63" s="222"/>
      <c r="AO63" s="222"/>
      <c r="AP63" s="222"/>
      <c r="AQ63" s="222"/>
      <c r="AR63" s="222"/>
      <c r="AS63" s="222"/>
      <c r="AT63" s="222"/>
      <c r="AU63" s="222"/>
      <c r="AV63" s="222"/>
      <c r="AW63" s="222"/>
      <c r="AX63" s="222"/>
      <c r="AY63" s="222"/>
      <c r="AZ63" s="222"/>
      <c r="BA63" s="222"/>
      <c r="BB63" s="222"/>
      <c r="BC63" s="222"/>
      <c r="CR63" s="234"/>
      <c r="CS63" s="234"/>
      <c r="DL63" s="219"/>
      <c r="DM63" s="219"/>
      <c r="DN63" s="210"/>
      <c r="DO63" s="210"/>
      <c r="DQ63" s="222"/>
      <c r="DR63" s="222"/>
      <c r="DS63" s="222"/>
      <c r="DT63" s="222"/>
      <c r="DW63" s="222"/>
      <c r="DX63" s="222"/>
      <c r="EI63" s="219"/>
      <c r="EJ63" s="219"/>
      <c r="EK63" s="219"/>
      <c r="EL63" s="219"/>
      <c r="EM63" s="219"/>
      <c r="EN63" s="219"/>
    </row>
    <row r="64" spans="1:144" ht="22.5" customHeight="1">
      <c r="A64" s="222"/>
      <c r="B64" s="222"/>
      <c r="D64" s="222"/>
      <c r="E64" s="222"/>
      <c r="F64" s="222"/>
      <c r="G64" s="222"/>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8"/>
      <c r="AL64" s="228"/>
      <c r="AM64" s="222"/>
      <c r="AN64" s="222"/>
      <c r="AO64" s="222"/>
      <c r="AP64" s="222"/>
      <c r="AQ64" s="222"/>
      <c r="AR64" s="222"/>
      <c r="AS64" s="222"/>
      <c r="AT64" s="222"/>
      <c r="AU64" s="222"/>
      <c r="AV64" s="222"/>
      <c r="AW64" s="222"/>
      <c r="AX64" s="222"/>
      <c r="AY64" s="222"/>
      <c r="AZ64" s="222"/>
      <c r="BA64" s="222"/>
      <c r="BB64" s="222"/>
      <c r="BC64" s="222"/>
      <c r="CR64" s="234"/>
      <c r="CS64" s="234"/>
      <c r="DL64" s="219"/>
      <c r="DM64" s="219"/>
      <c r="DN64" s="210"/>
      <c r="DO64" s="210"/>
      <c r="DQ64" s="222"/>
      <c r="DR64" s="222"/>
      <c r="DS64" s="222"/>
      <c r="DT64" s="222"/>
      <c r="DW64" s="222"/>
      <c r="DX64" s="222"/>
      <c r="EI64" s="219"/>
      <c r="EJ64" s="219"/>
      <c r="EK64" s="219"/>
      <c r="EL64" s="219"/>
      <c r="EM64" s="219"/>
      <c r="EN64" s="219"/>
    </row>
    <row r="65" spans="1:144" ht="22.5" customHeight="1">
      <c r="A65" s="222"/>
      <c r="B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8"/>
      <c r="AL65" s="228"/>
      <c r="AM65" s="222"/>
      <c r="AN65" s="222"/>
      <c r="AO65" s="222"/>
      <c r="AP65" s="222"/>
      <c r="AQ65" s="222"/>
      <c r="AR65" s="222"/>
      <c r="AS65" s="222"/>
      <c r="AT65" s="222"/>
      <c r="AU65" s="222"/>
      <c r="AV65" s="222"/>
      <c r="AW65" s="222"/>
      <c r="AX65" s="222"/>
      <c r="AY65" s="222"/>
      <c r="AZ65" s="222"/>
      <c r="BA65" s="222"/>
      <c r="BB65" s="222"/>
      <c r="BC65" s="222"/>
      <c r="CR65" s="234"/>
      <c r="CS65" s="234"/>
      <c r="DL65" s="219"/>
      <c r="DM65" s="219"/>
      <c r="DN65" s="210"/>
      <c r="DO65" s="210"/>
      <c r="DQ65" s="222"/>
      <c r="DR65" s="222"/>
      <c r="DS65" s="222"/>
      <c r="DT65" s="222"/>
      <c r="DW65" s="222"/>
      <c r="DX65" s="222"/>
      <c r="EI65" s="219"/>
      <c r="EJ65" s="219"/>
      <c r="EK65" s="219"/>
      <c r="EL65" s="219"/>
      <c r="EM65" s="219"/>
      <c r="EN65" s="219"/>
    </row>
    <row r="66" spans="1:144" ht="22.5" customHeight="1">
      <c r="A66" s="222"/>
      <c r="B66" s="222"/>
      <c r="D66" s="222"/>
      <c r="E66" s="222"/>
      <c r="F66" s="222"/>
      <c r="G66" s="222"/>
      <c r="H66" s="222"/>
      <c r="I66" s="222"/>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2"/>
      <c r="AK66" s="228"/>
      <c r="AL66" s="228"/>
      <c r="AM66" s="222"/>
      <c r="AN66" s="222"/>
      <c r="AO66" s="222"/>
      <c r="AP66" s="222"/>
      <c r="AQ66" s="222"/>
      <c r="AR66" s="222"/>
      <c r="AS66" s="222"/>
      <c r="AT66" s="222"/>
      <c r="AU66" s="222"/>
      <c r="AV66" s="222"/>
      <c r="AW66" s="222"/>
      <c r="AX66" s="222"/>
      <c r="AY66" s="222"/>
      <c r="AZ66" s="222"/>
      <c r="BA66" s="222"/>
      <c r="BB66" s="222"/>
      <c r="BC66" s="222"/>
      <c r="CR66" s="234"/>
      <c r="CS66" s="234"/>
      <c r="DL66" s="219"/>
      <c r="DM66" s="219"/>
      <c r="DN66" s="210"/>
      <c r="DO66" s="210"/>
      <c r="DQ66" s="222"/>
      <c r="DR66" s="222"/>
      <c r="DS66" s="222"/>
      <c r="DT66" s="222"/>
      <c r="DW66" s="222"/>
      <c r="DX66" s="222"/>
      <c r="EI66" s="219"/>
      <c r="EJ66" s="219"/>
      <c r="EK66" s="219"/>
      <c r="EL66" s="219"/>
      <c r="EM66" s="219"/>
      <c r="EN66" s="219"/>
    </row>
    <row r="67" spans="1:144" ht="22.5" customHeight="1">
      <c r="A67" s="222"/>
      <c r="B67" s="222"/>
      <c r="D67" s="222"/>
      <c r="E67" s="222"/>
      <c r="F67" s="222"/>
      <c r="G67" s="222"/>
      <c r="H67" s="222"/>
      <c r="I67" s="222"/>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8"/>
      <c r="AL67" s="228"/>
      <c r="AM67" s="222"/>
      <c r="AN67" s="222"/>
      <c r="AO67" s="222"/>
      <c r="AP67" s="222"/>
      <c r="AQ67" s="222"/>
      <c r="AR67" s="222"/>
      <c r="AS67" s="222"/>
      <c r="AT67" s="222"/>
      <c r="AU67" s="222"/>
      <c r="AV67" s="222"/>
      <c r="AW67" s="222"/>
      <c r="AX67" s="222"/>
      <c r="AY67" s="222"/>
      <c r="AZ67" s="222"/>
      <c r="BA67" s="222"/>
      <c r="BB67" s="222"/>
      <c r="BC67" s="222"/>
      <c r="CR67" s="234"/>
      <c r="CS67" s="234"/>
      <c r="DL67" s="219"/>
      <c r="DM67" s="219"/>
      <c r="DN67" s="210"/>
      <c r="DO67" s="210"/>
      <c r="DQ67" s="222"/>
      <c r="DR67" s="222"/>
      <c r="DS67" s="222"/>
      <c r="DT67" s="222"/>
      <c r="DW67" s="222"/>
      <c r="DX67" s="222"/>
      <c r="EI67" s="219"/>
      <c r="EJ67" s="219"/>
      <c r="EK67" s="219"/>
      <c r="EL67" s="219"/>
      <c r="EM67" s="219"/>
      <c r="EN67" s="219"/>
    </row>
    <row r="68" spans="1:144" ht="22.5" customHeight="1">
      <c r="A68" s="222"/>
      <c r="B68" s="222"/>
      <c r="D68" s="222"/>
      <c r="E68" s="222"/>
      <c r="F68" s="222"/>
      <c r="G68" s="222"/>
      <c r="H68" s="222"/>
      <c r="I68" s="222"/>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K68" s="228"/>
      <c r="AL68" s="228"/>
      <c r="AM68" s="222"/>
      <c r="AN68" s="222"/>
      <c r="AO68" s="222"/>
      <c r="AP68" s="222"/>
      <c r="AQ68" s="222"/>
      <c r="AR68" s="222"/>
      <c r="AS68" s="222"/>
      <c r="AT68" s="222"/>
      <c r="AU68" s="222"/>
      <c r="AV68" s="222"/>
      <c r="AW68" s="222"/>
      <c r="AX68" s="222"/>
      <c r="AY68" s="222"/>
      <c r="AZ68" s="222"/>
      <c r="BA68" s="222"/>
      <c r="BB68" s="222"/>
      <c r="BC68" s="222"/>
      <c r="CR68" s="234"/>
      <c r="CS68" s="234"/>
      <c r="DL68" s="219"/>
      <c r="DM68" s="219"/>
      <c r="DN68" s="210"/>
      <c r="DO68" s="210"/>
      <c r="DQ68" s="222"/>
      <c r="DR68" s="222"/>
      <c r="DS68" s="222"/>
      <c r="DT68" s="222"/>
      <c r="DW68" s="222"/>
      <c r="DX68" s="222"/>
      <c r="EI68" s="219"/>
      <c r="EJ68" s="219"/>
      <c r="EK68" s="219"/>
      <c r="EL68" s="219"/>
      <c r="EM68" s="219"/>
      <c r="EN68" s="219"/>
    </row>
    <row r="69" spans="1:144" ht="22.5" customHeight="1">
      <c r="A69" s="222"/>
      <c r="B69" s="222"/>
      <c r="D69" s="222"/>
      <c r="E69" s="222"/>
      <c r="F69" s="222"/>
      <c r="G69" s="222"/>
      <c r="H69" s="222"/>
      <c r="I69" s="222"/>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2"/>
      <c r="AK69" s="228"/>
      <c r="AL69" s="228"/>
      <c r="AM69" s="222"/>
      <c r="AN69" s="222"/>
      <c r="AO69" s="222"/>
      <c r="AP69" s="222"/>
      <c r="AQ69" s="222"/>
      <c r="AR69" s="222"/>
      <c r="AS69" s="222"/>
      <c r="AT69" s="222"/>
      <c r="AU69" s="222"/>
      <c r="AV69" s="222"/>
      <c r="AW69" s="222"/>
      <c r="AX69" s="222"/>
      <c r="AY69" s="222"/>
      <c r="AZ69" s="222"/>
      <c r="BA69" s="222"/>
      <c r="BB69" s="222"/>
      <c r="BC69" s="222"/>
      <c r="CR69" s="234"/>
      <c r="CS69" s="234"/>
      <c r="DL69" s="219"/>
      <c r="DM69" s="219"/>
      <c r="DN69" s="210"/>
      <c r="DO69" s="210"/>
      <c r="DQ69" s="222"/>
      <c r="DR69" s="222"/>
      <c r="DS69" s="222"/>
      <c r="DT69" s="222"/>
      <c r="DW69" s="222"/>
      <c r="DX69" s="222"/>
      <c r="EI69" s="219"/>
      <c r="EJ69" s="219"/>
      <c r="EK69" s="219"/>
      <c r="EL69" s="219"/>
      <c r="EM69" s="219"/>
      <c r="EN69" s="219"/>
    </row>
    <row r="70" spans="1:144" ht="22.5" customHeight="1">
      <c r="A70" s="222"/>
      <c r="B70" s="222"/>
      <c r="D70" s="222"/>
      <c r="E70" s="222"/>
      <c r="F70" s="222"/>
      <c r="G70" s="222"/>
      <c r="H70" s="222"/>
      <c r="I70" s="222"/>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K70" s="228"/>
      <c r="AL70" s="228"/>
      <c r="AM70" s="222"/>
      <c r="AN70" s="222"/>
      <c r="AO70" s="222"/>
      <c r="AP70" s="222"/>
      <c r="AQ70" s="222"/>
      <c r="AR70" s="222"/>
      <c r="AS70" s="222"/>
      <c r="AT70" s="222"/>
      <c r="AU70" s="222"/>
      <c r="AV70" s="222"/>
      <c r="AW70" s="222"/>
      <c r="AX70" s="222"/>
      <c r="AY70" s="222"/>
      <c r="AZ70" s="222"/>
      <c r="BA70" s="222"/>
      <c r="BB70" s="222"/>
      <c r="BC70" s="222"/>
      <c r="CR70" s="234"/>
      <c r="CS70" s="234"/>
      <c r="DL70" s="219"/>
      <c r="DM70" s="219"/>
      <c r="DN70" s="210"/>
      <c r="DO70" s="210"/>
      <c r="DQ70" s="222"/>
      <c r="DR70" s="222"/>
      <c r="DS70" s="222"/>
      <c r="DT70" s="222"/>
      <c r="DW70" s="222"/>
      <c r="DX70" s="222"/>
      <c r="EI70" s="219"/>
      <c r="EJ70" s="219"/>
      <c r="EK70" s="219"/>
      <c r="EL70" s="219"/>
      <c r="EM70" s="219"/>
      <c r="EN70" s="219"/>
    </row>
    <row r="71" spans="1:144" ht="22.5" customHeight="1">
      <c r="A71" s="222"/>
      <c r="B71" s="222"/>
      <c r="D71" s="222"/>
      <c r="E71" s="222"/>
      <c r="F71" s="222"/>
      <c r="G71" s="222"/>
      <c r="H71" s="222"/>
      <c r="I71" s="222"/>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K71" s="228"/>
      <c r="AL71" s="228"/>
      <c r="AM71" s="222"/>
      <c r="AN71" s="222"/>
      <c r="AO71" s="222"/>
      <c r="AP71" s="222"/>
      <c r="AQ71" s="222"/>
      <c r="AR71" s="222"/>
      <c r="AS71" s="222"/>
      <c r="AT71" s="222"/>
      <c r="AU71" s="222"/>
      <c r="AV71" s="222"/>
      <c r="AW71" s="222"/>
      <c r="AX71" s="222"/>
      <c r="AY71" s="222"/>
      <c r="AZ71" s="222"/>
      <c r="BA71" s="222"/>
      <c r="BB71" s="222"/>
      <c r="BC71" s="222"/>
      <c r="CR71" s="234"/>
      <c r="CS71" s="234"/>
      <c r="DL71" s="219"/>
      <c r="DM71" s="219"/>
      <c r="DN71" s="210"/>
      <c r="DO71" s="210"/>
      <c r="DQ71" s="222"/>
      <c r="DR71" s="222"/>
      <c r="DS71" s="222"/>
      <c r="DT71" s="222"/>
      <c r="DW71" s="222"/>
      <c r="DX71" s="222"/>
      <c r="EI71" s="219"/>
      <c r="EJ71" s="219"/>
      <c r="EK71" s="219"/>
      <c r="EL71" s="219"/>
      <c r="EM71" s="219"/>
      <c r="EN71" s="219"/>
    </row>
    <row r="72" spans="1:144" ht="22.5" customHeight="1">
      <c r="A72" s="222"/>
      <c r="B72" s="222"/>
      <c r="D72" s="222"/>
      <c r="E72" s="222"/>
      <c r="F72" s="222"/>
      <c r="G72" s="222"/>
      <c r="H72" s="222"/>
      <c r="I72" s="222"/>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K72" s="228"/>
      <c r="AL72" s="228"/>
      <c r="AM72" s="222"/>
      <c r="AN72" s="222"/>
      <c r="AO72" s="222"/>
      <c r="AP72" s="222"/>
      <c r="AQ72" s="222"/>
      <c r="AR72" s="222"/>
      <c r="AS72" s="222"/>
      <c r="AT72" s="222"/>
      <c r="AU72" s="222"/>
      <c r="AV72" s="222"/>
      <c r="AW72" s="222"/>
      <c r="AX72" s="222"/>
      <c r="AY72" s="222"/>
      <c r="AZ72" s="222"/>
      <c r="BA72" s="222"/>
      <c r="BB72" s="222"/>
      <c r="BC72" s="222"/>
      <c r="CR72" s="234"/>
      <c r="CS72" s="234"/>
      <c r="DL72" s="219"/>
      <c r="DM72" s="219"/>
      <c r="DN72" s="210"/>
      <c r="DO72" s="210"/>
      <c r="DQ72" s="222"/>
      <c r="DR72" s="222"/>
      <c r="DS72" s="222"/>
      <c r="DT72" s="222"/>
      <c r="DW72" s="222"/>
      <c r="DX72" s="222"/>
      <c r="EI72" s="219"/>
      <c r="EJ72" s="219"/>
      <c r="EK72" s="219"/>
      <c r="EL72" s="219"/>
      <c r="EM72" s="219"/>
      <c r="EN72" s="219"/>
    </row>
    <row r="73" spans="1:144" ht="22.5" customHeight="1">
      <c r="A73" s="222"/>
      <c r="B73" s="222"/>
      <c r="D73" s="222"/>
      <c r="E73" s="222"/>
      <c r="F73" s="222"/>
      <c r="G73" s="222"/>
      <c r="H73" s="222"/>
      <c r="I73" s="222"/>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K73" s="228"/>
      <c r="AL73" s="228"/>
      <c r="AM73" s="222"/>
      <c r="AN73" s="222"/>
      <c r="AO73" s="222"/>
      <c r="AP73" s="222"/>
      <c r="AQ73" s="222"/>
      <c r="AR73" s="222"/>
      <c r="AS73" s="222"/>
      <c r="AT73" s="222"/>
      <c r="AU73" s="222"/>
      <c r="AV73" s="222"/>
      <c r="AW73" s="222"/>
      <c r="AX73" s="222"/>
      <c r="AY73" s="222"/>
      <c r="AZ73" s="222"/>
      <c r="BA73" s="222"/>
      <c r="BB73" s="222"/>
      <c r="BC73" s="222"/>
      <c r="CR73" s="234"/>
      <c r="CS73" s="234"/>
      <c r="DL73" s="219"/>
      <c r="DM73" s="219"/>
      <c r="DN73" s="210"/>
      <c r="DO73" s="210"/>
      <c r="DQ73" s="222"/>
      <c r="DR73" s="222"/>
      <c r="DS73" s="222"/>
      <c r="DT73" s="222"/>
      <c r="DW73" s="222"/>
      <c r="DX73" s="222"/>
      <c r="EI73" s="219"/>
      <c r="EJ73" s="219"/>
      <c r="EK73" s="219"/>
      <c r="EL73" s="219"/>
      <c r="EM73" s="219"/>
      <c r="EN73" s="219"/>
    </row>
    <row r="74" spans="1:144" ht="22.5" customHeight="1">
      <c r="A74" s="222"/>
      <c r="B74" s="222"/>
      <c r="D74" s="222"/>
      <c r="E74" s="222"/>
      <c r="F74" s="222"/>
      <c r="G74" s="222"/>
      <c r="H74" s="222"/>
      <c r="I74" s="222"/>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K74" s="228"/>
      <c r="AL74" s="228"/>
      <c r="AM74" s="222"/>
      <c r="AN74" s="222"/>
      <c r="AO74" s="222"/>
      <c r="AP74" s="222"/>
      <c r="AQ74" s="222"/>
      <c r="AR74" s="222"/>
      <c r="AS74" s="222"/>
      <c r="AT74" s="222"/>
      <c r="AU74" s="222"/>
      <c r="AV74" s="222"/>
      <c r="AW74" s="222"/>
      <c r="AX74" s="222"/>
      <c r="AY74" s="222"/>
      <c r="AZ74" s="222"/>
      <c r="BA74" s="222"/>
      <c r="BB74" s="222"/>
      <c r="BC74" s="222"/>
      <c r="CR74" s="234"/>
      <c r="CS74" s="234"/>
      <c r="DL74" s="219"/>
      <c r="DM74" s="219"/>
      <c r="DN74" s="210"/>
      <c r="DO74" s="210"/>
      <c r="DQ74" s="222"/>
      <c r="DR74" s="222"/>
      <c r="DS74" s="222"/>
      <c r="DT74" s="222"/>
      <c r="DW74" s="222"/>
      <c r="DX74" s="222"/>
      <c r="EI74" s="219"/>
      <c r="EJ74" s="219"/>
      <c r="EK74" s="219"/>
      <c r="EL74" s="219"/>
      <c r="EM74" s="219"/>
      <c r="EN74" s="219"/>
    </row>
    <row r="75" spans="1:144" ht="22.5" customHeight="1">
      <c r="A75" s="222"/>
      <c r="B75" s="222"/>
      <c r="D75" s="222"/>
      <c r="E75" s="222"/>
      <c r="F75" s="222"/>
      <c r="G75" s="222"/>
      <c r="H75" s="222"/>
      <c r="I75" s="222"/>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K75" s="228"/>
      <c r="AL75" s="228"/>
      <c r="AM75" s="222"/>
      <c r="AN75" s="222"/>
      <c r="AO75" s="222"/>
      <c r="AP75" s="222"/>
      <c r="AQ75" s="222"/>
      <c r="AR75" s="222"/>
      <c r="AS75" s="222"/>
      <c r="AT75" s="222"/>
      <c r="AU75" s="222"/>
      <c r="AV75" s="222"/>
      <c r="AW75" s="222"/>
      <c r="AX75" s="222"/>
      <c r="AY75" s="222"/>
      <c r="AZ75" s="222"/>
      <c r="BA75" s="222"/>
      <c r="BB75" s="222"/>
      <c r="BC75" s="222"/>
      <c r="CR75" s="234"/>
      <c r="CS75" s="234"/>
      <c r="DL75" s="219"/>
      <c r="DM75" s="219"/>
      <c r="DN75" s="210"/>
      <c r="DO75" s="210"/>
      <c r="DQ75" s="222"/>
      <c r="DR75" s="222"/>
      <c r="DS75" s="222"/>
      <c r="DT75" s="222"/>
      <c r="DW75" s="222"/>
      <c r="DX75" s="222"/>
      <c r="EI75" s="219"/>
      <c r="EJ75" s="219"/>
      <c r="EK75" s="219"/>
      <c r="EL75" s="219"/>
      <c r="EM75" s="219"/>
      <c r="EN75" s="219"/>
    </row>
    <row r="76" spans="1:144" ht="22.5" customHeight="1">
      <c r="A76" s="222"/>
      <c r="B76" s="222"/>
      <c r="D76" s="222"/>
      <c r="E76" s="222"/>
      <c r="F76" s="222"/>
      <c r="G76" s="222"/>
      <c r="H76" s="222"/>
      <c r="I76" s="222"/>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2"/>
      <c r="AK76" s="228"/>
      <c r="AL76" s="228"/>
      <c r="AM76" s="222"/>
      <c r="AN76" s="222"/>
      <c r="AO76" s="222"/>
      <c r="AP76" s="222"/>
      <c r="AQ76" s="222"/>
      <c r="AR76" s="222"/>
      <c r="AS76" s="222"/>
      <c r="AT76" s="222"/>
      <c r="AU76" s="222"/>
      <c r="AV76" s="222"/>
      <c r="AW76" s="222"/>
      <c r="AX76" s="222"/>
      <c r="AY76" s="222"/>
      <c r="AZ76" s="222"/>
      <c r="BA76" s="222"/>
      <c r="BB76" s="222"/>
      <c r="BC76" s="222"/>
      <c r="CR76" s="234"/>
      <c r="CS76" s="234"/>
      <c r="DL76" s="219"/>
      <c r="DM76" s="219"/>
      <c r="DN76" s="210"/>
      <c r="DO76" s="210"/>
      <c r="DQ76" s="222"/>
      <c r="DR76" s="222"/>
      <c r="DS76" s="222"/>
      <c r="DT76" s="222"/>
      <c r="DW76" s="222"/>
      <c r="DX76" s="222"/>
      <c r="EI76" s="219"/>
      <c r="EJ76" s="219"/>
      <c r="EK76" s="219"/>
      <c r="EL76" s="219"/>
      <c r="EM76" s="219"/>
      <c r="EN76" s="219"/>
    </row>
    <row r="77" spans="1:144" ht="22.5" customHeight="1">
      <c r="A77" s="222"/>
      <c r="B77" s="222"/>
      <c r="D77" s="222"/>
      <c r="E77" s="222"/>
      <c r="F77" s="222"/>
      <c r="G77" s="222"/>
      <c r="H77" s="222"/>
      <c r="I77" s="222"/>
      <c r="J77" s="222"/>
      <c r="K77" s="222"/>
      <c r="L77" s="222"/>
      <c r="M77" s="222"/>
      <c r="N77" s="222"/>
      <c r="O77" s="222"/>
      <c r="P77" s="222"/>
      <c r="Q77" s="222"/>
      <c r="R77" s="222"/>
      <c r="S77" s="222"/>
      <c r="T77" s="222"/>
      <c r="U77" s="222"/>
      <c r="V77" s="222"/>
      <c r="W77" s="222"/>
      <c r="X77" s="222"/>
      <c r="Y77" s="222"/>
      <c r="Z77" s="222"/>
      <c r="AA77" s="222"/>
      <c r="AB77" s="222"/>
      <c r="AC77" s="222"/>
      <c r="AD77" s="222"/>
      <c r="AE77" s="222"/>
      <c r="AF77" s="222"/>
      <c r="AG77" s="222"/>
      <c r="AH77" s="222"/>
      <c r="AI77" s="222"/>
      <c r="AK77" s="228"/>
      <c r="AL77" s="228"/>
      <c r="AM77" s="222"/>
      <c r="AN77" s="222"/>
      <c r="AO77" s="222"/>
      <c r="AP77" s="222"/>
      <c r="AQ77" s="222"/>
      <c r="AR77" s="222"/>
      <c r="AS77" s="222"/>
      <c r="AT77" s="222"/>
      <c r="AU77" s="222"/>
      <c r="AV77" s="222"/>
      <c r="AW77" s="222"/>
      <c r="AX77" s="222"/>
      <c r="AY77" s="222"/>
      <c r="AZ77" s="222"/>
      <c r="BA77" s="222"/>
      <c r="BB77" s="222"/>
      <c r="BC77" s="222"/>
      <c r="CR77" s="234"/>
      <c r="CS77" s="234"/>
      <c r="DL77" s="219"/>
      <c r="DM77" s="219"/>
      <c r="DN77" s="210"/>
      <c r="DO77" s="210"/>
      <c r="DQ77" s="222"/>
      <c r="DR77" s="222"/>
      <c r="DS77" s="222"/>
      <c r="DT77" s="222"/>
      <c r="DW77" s="222"/>
      <c r="DX77" s="222"/>
      <c r="EI77" s="219"/>
      <c r="EJ77" s="219"/>
      <c r="EK77" s="219"/>
      <c r="EL77" s="219"/>
      <c r="EM77" s="219"/>
      <c r="EN77" s="219"/>
    </row>
    <row r="78" spans="1:144" ht="22.5" customHeight="1">
      <c r="A78" s="222"/>
      <c r="B78" s="222"/>
      <c r="D78" s="222"/>
      <c r="E78" s="222"/>
      <c r="F78" s="222"/>
      <c r="G78" s="222"/>
      <c r="H78" s="222"/>
      <c r="I78" s="222"/>
      <c r="J78" s="222"/>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2"/>
      <c r="AK78" s="236"/>
      <c r="AL78" s="236"/>
      <c r="AM78" s="222"/>
      <c r="AN78" s="222"/>
      <c r="AO78" s="222"/>
      <c r="AP78" s="222"/>
      <c r="AQ78" s="222"/>
      <c r="AR78" s="222"/>
      <c r="AS78" s="222"/>
      <c r="AT78" s="222"/>
      <c r="AU78" s="222"/>
      <c r="AV78" s="222"/>
      <c r="AW78" s="222"/>
      <c r="AX78" s="222"/>
      <c r="AY78" s="222"/>
      <c r="AZ78" s="222"/>
      <c r="BA78" s="222"/>
      <c r="BB78" s="222"/>
      <c r="BC78" s="222"/>
      <c r="CR78" s="234"/>
      <c r="CS78" s="234"/>
      <c r="DL78" s="212"/>
      <c r="DM78" s="212"/>
      <c r="DN78" s="210"/>
      <c r="DO78" s="210"/>
      <c r="DQ78" s="222"/>
      <c r="DR78" s="222"/>
      <c r="DS78" s="222"/>
      <c r="DT78" s="222"/>
      <c r="DW78" s="222"/>
      <c r="DX78" s="222"/>
      <c r="EI78" s="212"/>
      <c r="EJ78" s="212"/>
      <c r="EK78" s="212"/>
      <c r="EL78" s="212"/>
      <c r="EM78" s="212"/>
      <c r="EN78" s="212"/>
    </row>
    <row r="79" spans="1:144" ht="22.5" customHeight="1">
      <c r="A79" s="222"/>
      <c r="B79" s="222"/>
      <c r="D79" s="222"/>
      <c r="E79" s="222"/>
      <c r="F79" s="222"/>
      <c r="G79" s="222"/>
      <c r="H79" s="222"/>
      <c r="I79" s="222"/>
      <c r="J79" s="222"/>
      <c r="K79" s="222"/>
      <c r="L79" s="222"/>
      <c r="M79" s="222"/>
      <c r="N79" s="222"/>
      <c r="O79" s="222"/>
      <c r="P79" s="222"/>
      <c r="Q79" s="222"/>
      <c r="R79" s="222"/>
      <c r="S79" s="222"/>
      <c r="T79" s="222"/>
      <c r="U79" s="222"/>
      <c r="V79" s="222"/>
      <c r="W79" s="222"/>
      <c r="X79" s="222"/>
      <c r="Y79" s="222"/>
      <c r="Z79" s="222"/>
      <c r="AA79" s="222"/>
      <c r="AB79" s="222"/>
      <c r="AC79" s="222"/>
      <c r="AD79" s="222"/>
      <c r="AE79" s="222"/>
      <c r="AF79" s="222"/>
      <c r="AG79" s="222"/>
      <c r="AH79" s="222"/>
      <c r="AI79" s="222"/>
      <c r="AK79" s="236"/>
      <c r="AL79" s="236"/>
      <c r="AM79" s="222"/>
      <c r="AN79" s="222"/>
      <c r="AO79" s="222"/>
      <c r="AP79" s="222"/>
      <c r="AQ79" s="222"/>
      <c r="AR79" s="222"/>
      <c r="AS79" s="222"/>
      <c r="AT79" s="222"/>
      <c r="AU79" s="222"/>
      <c r="AV79" s="222"/>
      <c r="AW79" s="222"/>
      <c r="AX79" s="222"/>
      <c r="AY79" s="222"/>
      <c r="AZ79" s="222"/>
      <c r="BA79" s="222"/>
      <c r="BB79" s="222"/>
      <c r="BC79" s="222"/>
      <c r="CR79" s="234"/>
      <c r="CS79" s="234"/>
      <c r="DL79" s="219"/>
      <c r="DM79" s="219"/>
      <c r="DN79" s="210"/>
      <c r="DO79" s="210"/>
      <c r="DQ79" s="222"/>
      <c r="DR79" s="222"/>
      <c r="DS79" s="222"/>
      <c r="DT79" s="222"/>
      <c r="DW79" s="222"/>
      <c r="DX79" s="222"/>
      <c r="EI79" s="219"/>
      <c r="EJ79" s="219"/>
      <c r="EK79" s="219"/>
      <c r="EL79" s="219"/>
      <c r="EM79" s="219"/>
      <c r="EN79" s="219"/>
    </row>
    <row r="80" spans="1:139" ht="22.5" customHeight="1">
      <c r="A80" s="222"/>
      <c r="B80" s="222"/>
      <c r="D80" s="222"/>
      <c r="E80" s="222"/>
      <c r="F80" s="222"/>
      <c r="G80" s="222"/>
      <c r="H80" s="222"/>
      <c r="I80" s="222"/>
      <c r="J80" s="222"/>
      <c r="K80" s="222"/>
      <c r="L80" s="222"/>
      <c r="M80" s="222"/>
      <c r="N80" s="222"/>
      <c r="O80" s="222"/>
      <c r="P80" s="222"/>
      <c r="Q80" s="222"/>
      <c r="R80" s="222"/>
      <c r="S80" s="222"/>
      <c r="T80" s="222"/>
      <c r="U80" s="222"/>
      <c r="V80" s="222"/>
      <c r="W80" s="222"/>
      <c r="X80" s="222"/>
      <c r="Y80" s="222"/>
      <c r="Z80" s="222"/>
      <c r="AA80" s="222"/>
      <c r="AB80" s="222"/>
      <c r="AC80" s="222"/>
      <c r="AD80" s="222"/>
      <c r="AE80" s="222"/>
      <c r="AF80" s="222"/>
      <c r="AG80" s="222"/>
      <c r="AH80" s="222"/>
      <c r="AI80" s="222"/>
      <c r="AK80" s="55"/>
      <c r="AL80" s="55"/>
      <c r="AM80" s="222"/>
      <c r="AN80" s="222"/>
      <c r="AO80" s="222"/>
      <c r="AP80" s="222"/>
      <c r="AQ80" s="222"/>
      <c r="AR80" s="222"/>
      <c r="AS80" s="222"/>
      <c r="AT80" s="222"/>
      <c r="AU80" s="222"/>
      <c r="AV80" s="222"/>
      <c r="AW80" s="222"/>
      <c r="AX80" s="222"/>
      <c r="AY80" s="222"/>
      <c r="AZ80" s="222"/>
      <c r="BA80" s="222"/>
      <c r="BB80" s="222"/>
      <c r="BC80" s="222"/>
      <c r="CR80" s="234"/>
      <c r="CS80" s="234"/>
      <c r="DQ80" s="222"/>
      <c r="DR80" s="222"/>
      <c r="DS80" s="222"/>
      <c r="DT80" s="222"/>
      <c r="DW80" s="222"/>
      <c r="DX80" s="222"/>
      <c r="EI80" s="237"/>
    </row>
    <row r="81" spans="1:139" ht="22.5" customHeight="1">
      <c r="A81" s="222"/>
      <c r="B81" s="222"/>
      <c r="D81" s="222"/>
      <c r="E81" s="222"/>
      <c r="F81" s="222"/>
      <c r="G81" s="222"/>
      <c r="H81" s="222"/>
      <c r="I81" s="222"/>
      <c r="J81" s="222"/>
      <c r="K81" s="222"/>
      <c r="L81" s="222"/>
      <c r="M81" s="222"/>
      <c r="N81" s="222"/>
      <c r="O81" s="222"/>
      <c r="P81" s="222"/>
      <c r="Q81" s="222"/>
      <c r="R81" s="222"/>
      <c r="S81" s="222"/>
      <c r="T81" s="222"/>
      <c r="U81" s="222"/>
      <c r="V81" s="222"/>
      <c r="W81" s="222"/>
      <c r="X81" s="222"/>
      <c r="Y81" s="222"/>
      <c r="Z81" s="222"/>
      <c r="AA81" s="222"/>
      <c r="AB81" s="222"/>
      <c r="AC81" s="222"/>
      <c r="AD81" s="222"/>
      <c r="AE81" s="222"/>
      <c r="AF81" s="222"/>
      <c r="AG81" s="222"/>
      <c r="AH81" s="222"/>
      <c r="AI81" s="222"/>
      <c r="AK81" s="55"/>
      <c r="AL81" s="55"/>
      <c r="AM81" s="222"/>
      <c r="AN81" s="222"/>
      <c r="AO81" s="222"/>
      <c r="AP81" s="222"/>
      <c r="AQ81" s="222"/>
      <c r="AR81" s="222"/>
      <c r="AS81" s="222"/>
      <c r="AT81" s="222"/>
      <c r="AU81" s="222"/>
      <c r="AV81" s="222"/>
      <c r="AW81" s="222"/>
      <c r="AX81" s="222"/>
      <c r="AY81" s="222"/>
      <c r="AZ81" s="222"/>
      <c r="BA81" s="222"/>
      <c r="BB81" s="222"/>
      <c r="BC81" s="222"/>
      <c r="CR81" s="234"/>
      <c r="CS81" s="234"/>
      <c r="DQ81" s="222"/>
      <c r="DR81" s="222"/>
      <c r="DS81" s="222"/>
      <c r="DT81" s="222"/>
      <c r="DW81" s="222"/>
      <c r="DX81" s="222"/>
      <c r="EI81" s="237"/>
    </row>
    <row r="82" spans="1:139" ht="22.5" customHeight="1">
      <c r="A82" s="222"/>
      <c r="B82" s="222"/>
      <c r="D82" s="222"/>
      <c r="E82" s="222"/>
      <c r="F82" s="222"/>
      <c r="G82" s="222"/>
      <c r="H82" s="222"/>
      <c r="I82" s="222"/>
      <c r="J82" s="222"/>
      <c r="K82" s="222"/>
      <c r="L82" s="222"/>
      <c r="M82" s="222"/>
      <c r="N82" s="222"/>
      <c r="O82" s="222"/>
      <c r="P82" s="222"/>
      <c r="Q82" s="222"/>
      <c r="R82" s="222"/>
      <c r="S82" s="222"/>
      <c r="T82" s="222"/>
      <c r="U82" s="222"/>
      <c r="V82" s="222"/>
      <c r="W82" s="222"/>
      <c r="X82" s="222"/>
      <c r="Y82" s="222"/>
      <c r="Z82" s="222"/>
      <c r="AA82" s="222"/>
      <c r="AB82" s="222"/>
      <c r="AC82" s="222"/>
      <c r="AD82" s="222"/>
      <c r="AE82" s="222"/>
      <c r="AF82" s="222"/>
      <c r="AG82" s="222"/>
      <c r="AH82" s="222"/>
      <c r="AI82" s="222"/>
      <c r="AK82" s="222"/>
      <c r="AL82" s="222"/>
      <c r="AM82" s="222"/>
      <c r="AN82" s="222"/>
      <c r="AO82" s="222"/>
      <c r="AP82" s="222"/>
      <c r="AQ82" s="222"/>
      <c r="AR82" s="222"/>
      <c r="AS82" s="222"/>
      <c r="AT82" s="222"/>
      <c r="AU82" s="222"/>
      <c r="AV82" s="222"/>
      <c r="AW82" s="222"/>
      <c r="AX82" s="222"/>
      <c r="AY82" s="222"/>
      <c r="AZ82" s="222"/>
      <c r="BA82" s="222"/>
      <c r="BB82" s="222"/>
      <c r="BC82" s="222"/>
      <c r="CR82" s="234"/>
      <c r="CS82" s="234"/>
      <c r="DQ82" s="222"/>
      <c r="DR82" s="222"/>
      <c r="DS82" s="222"/>
      <c r="DT82" s="222"/>
      <c r="DW82" s="222"/>
      <c r="DX82" s="222"/>
      <c r="EI82" s="237"/>
    </row>
    <row r="83" spans="1:139" ht="22.5" customHeight="1">
      <c r="A83" s="222"/>
      <c r="B83" s="222"/>
      <c r="D83" s="222"/>
      <c r="E83" s="222"/>
      <c r="F83" s="222"/>
      <c r="G83" s="222"/>
      <c r="H83" s="222"/>
      <c r="I83" s="222"/>
      <c r="J83" s="222"/>
      <c r="K83" s="222"/>
      <c r="L83" s="222"/>
      <c r="M83" s="222"/>
      <c r="N83" s="222"/>
      <c r="O83" s="222"/>
      <c r="P83" s="222"/>
      <c r="Q83" s="222"/>
      <c r="R83" s="222"/>
      <c r="S83" s="222"/>
      <c r="T83" s="222"/>
      <c r="U83" s="222"/>
      <c r="V83" s="222"/>
      <c r="W83" s="222"/>
      <c r="X83" s="222"/>
      <c r="Y83" s="222"/>
      <c r="Z83" s="222"/>
      <c r="AA83" s="222"/>
      <c r="AB83" s="222"/>
      <c r="AC83" s="222"/>
      <c r="AD83" s="222"/>
      <c r="AE83" s="222"/>
      <c r="AF83" s="222"/>
      <c r="AG83" s="222"/>
      <c r="AH83" s="222"/>
      <c r="AI83" s="222"/>
      <c r="AK83" s="222"/>
      <c r="AL83" s="222"/>
      <c r="AM83" s="222"/>
      <c r="AN83" s="222"/>
      <c r="AO83" s="222"/>
      <c r="AP83" s="222"/>
      <c r="AQ83" s="222"/>
      <c r="AR83" s="222"/>
      <c r="AS83" s="222"/>
      <c r="AT83" s="222"/>
      <c r="AU83" s="222"/>
      <c r="AV83" s="222"/>
      <c r="AW83" s="222"/>
      <c r="AX83" s="222"/>
      <c r="AY83" s="222"/>
      <c r="AZ83" s="222"/>
      <c r="BA83" s="222"/>
      <c r="BB83" s="222"/>
      <c r="BC83" s="222"/>
      <c r="CR83" s="234"/>
      <c r="CS83" s="234"/>
      <c r="DQ83" s="222"/>
      <c r="DR83" s="222"/>
      <c r="DS83" s="222"/>
      <c r="DT83" s="222"/>
      <c r="DW83" s="222"/>
      <c r="DX83" s="222"/>
      <c r="EI83" s="237"/>
    </row>
    <row r="84" spans="1:139" ht="22.5" customHeight="1">
      <c r="A84" s="222"/>
      <c r="B84" s="222"/>
      <c r="D84" s="222"/>
      <c r="E84" s="222"/>
      <c r="F84" s="222"/>
      <c r="G84" s="222"/>
      <c r="H84" s="222"/>
      <c r="I84" s="222"/>
      <c r="J84" s="222"/>
      <c r="K84" s="222"/>
      <c r="L84" s="222"/>
      <c r="M84" s="222"/>
      <c r="N84" s="222"/>
      <c r="O84" s="222"/>
      <c r="P84" s="222"/>
      <c r="Q84" s="222"/>
      <c r="R84" s="222"/>
      <c r="S84" s="222"/>
      <c r="T84" s="222"/>
      <c r="U84" s="222"/>
      <c r="V84" s="222"/>
      <c r="W84" s="222"/>
      <c r="X84" s="222"/>
      <c r="Y84" s="222"/>
      <c r="Z84" s="222"/>
      <c r="AA84" s="222"/>
      <c r="AB84" s="222"/>
      <c r="AC84" s="222"/>
      <c r="AD84" s="222"/>
      <c r="AE84" s="222"/>
      <c r="AF84" s="222"/>
      <c r="AG84" s="222"/>
      <c r="AH84" s="222"/>
      <c r="AI84" s="222"/>
      <c r="AK84" s="222"/>
      <c r="AL84" s="222"/>
      <c r="AM84" s="222"/>
      <c r="AN84" s="222"/>
      <c r="AO84" s="222"/>
      <c r="AP84" s="222"/>
      <c r="AQ84" s="222"/>
      <c r="AR84" s="222"/>
      <c r="AS84" s="222"/>
      <c r="AT84" s="222"/>
      <c r="AU84" s="222"/>
      <c r="AV84" s="222"/>
      <c r="AW84" s="222"/>
      <c r="AX84" s="222"/>
      <c r="AY84" s="222"/>
      <c r="AZ84" s="222"/>
      <c r="BA84" s="222"/>
      <c r="BB84" s="222"/>
      <c r="BC84" s="222"/>
      <c r="CR84" s="234"/>
      <c r="CS84" s="234"/>
      <c r="DQ84" s="222"/>
      <c r="DR84" s="222"/>
      <c r="DS84" s="222"/>
      <c r="DT84" s="222"/>
      <c r="DW84" s="222"/>
      <c r="DX84" s="222"/>
      <c r="EI84" s="237"/>
    </row>
    <row r="85" spans="1:139" ht="22.5" customHeight="1">
      <c r="A85" s="222"/>
      <c r="B85" s="222"/>
      <c r="D85" s="222"/>
      <c r="E85" s="222"/>
      <c r="F85" s="222"/>
      <c r="G85" s="222"/>
      <c r="H85" s="222"/>
      <c r="I85" s="222"/>
      <c r="J85" s="222"/>
      <c r="K85" s="222"/>
      <c r="L85" s="222"/>
      <c r="M85" s="222"/>
      <c r="N85" s="222"/>
      <c r="O85" s="222"/>
      <c r="P85" s="222"/>
      <c r="Q85" s="222"/>
      <c r="R85" s="222"/>
      <c r="S85" s="222"/>
      <c r="T85" s="222"/>
      <c r="U85" s="222"/>
      <c r="V85" s="222"/>
      <c r="W85" s="222"/>
      <c r="X85" s="222"/>
      <c r="Y85" s="222"/>
      <c r="Z85" s="222"/>
      <c r="AA85" s="222"/>
      <c r="AB85" s="222"/>
      <c r="AC85" s="222"/>
      <c r="AD85" s="222"/>
      <c r="AE85" s="222"/>
      <c r="AF85" s="222"/>
      <c r="AG85" s="222"/>
      <c r="AH85" s="222"/>
      <c r="AI85" s="222"/>
      <c r="AK85" s="222"/>
      <c r="AL85" s="222"/>
      <c r="AM85" s="222"/>
      <c r="AN85" s="222"/>
      <c r="AO85" s="222"/>
      <c r="AP85" s="222"/>
      <c r="AQ85" s="222"/>
      <c r="AR85" s="222"/>
      <c r="AS85" s="222"/>
      <c r="AT85" s="222"/>
      <c r="AU85" s="222"/>
      <c r="AV85" s="222"/>
      <c r="AW85" s="222"/>
      <c r="AX85" s="222"/>
      <c r="AY85" s="222"/>
      <c r="AZ85" s="222"/>
      <c r="BA85" s="222"/>
      <c r="BB85" s="222"/>
      <c r="BC85" s="222"/>
      <c r="CR85" s="234"/>
      <c r="CS85" s="234"/>
      <c r="DQ85" s="222"/>
      <c r="DR85" s="222"/>
      <c r="DS85" s="222"/>
      <c r="DT85" s="222"/>
      <c r="DW85" s="222"/>
      <c r="DX85" s="222"/>
      <c r="EI85" s="237"/>
    </row>
    <row r="86" spans="1:139" ht="22.5" customHeight="1">
      <c r="A86" s="222"/>
      <c r="B86" s="222"/>
      <c r="D86" s="222"/>
      <c r="E86" s="222"/>
      <c r="F86" s="222"/>
      <c r="G86" s="222"/>
      <c r="H86" s="222"/>
      <c r="I86" s="222"/>
      <c r="J86" s="222"/>
      <c r="K86" s="222"/>
      <c r="L86" s="222"/>
      <c r="M86" s="222"/>
      <c r="N86" s="222"/>
      <c r="O86" s="222"/>
      <c r="P86" s="222"/>
      <c r="Q86" s="222"/>
      <c r="R86" s="222"/>
      <c r="S86" s="222"/>
      <c r="T86" s="222"/>
      <c r="U86" s="222"/>
      <c r="V86" s="222"/>
      <c r="W86" s="222"/>
      <c r="X86" s="222"/>
      <c r="Y86" s="222"/>
      <c r="Z86" s="222"/>
      <c r="AA86" s="222"/>
      <c r="AB86" s="222"/>
      <c r="AC86" s="222"/>
      <c r="AD86" s="222"/>
      <c r="AE86" s="222"/>
      <c r="AF86" s="222"/>
      <c r="AG86" s="222"/>
      <c r="AH86" s="222"/>
      <c r="AI86" s="222"/>
      <c r="AK86" s="222"/>
      <c r="AL86" s="222"/>
      <c r="AM86" s="222"/>
      <c r="AN86" s="222"/>
      <c r="AO86" s="222"/>
      <c r="AP86" s="222"/>
      <c r="AQ86" s="222"/>
      <c r="AR86" s="222"/>
      <c r="AS86" s="222"/>
      <c r="AT86" s="222"/>
      <c r="AU86" s="222"/>
      <c r="AV86" s="222"/>
      <c r="AW86" s="222"/>
      <c r="AX86" s="222"/>
      <c r="AY86" s="222"/>
      <c r="AZ86" s="222"/>
      <c r="BA86" s="222"/>
      <c r="BB86" s="222"/>
      <c r="BC86" s="222"/>
      <c r="CR86" s="234"/>
      <c r="CS86" s="234"/>
      <c r="DQ86" s="222"/>
      <c r="DR86" s="222"/>
      <c r="DS86" s="222"/>
      <c r="DT86" s="222"/>
      <c r="DW86" s="222"/>
      <c r="DX86" s="222"/>
      <c r="EI86" s="237"/>
    </row>
    <row r="87" spans="1:139" ht="22.5" customHeight="1">
      <c r="A87" s="222"/>
      <c r="B87" s="222"/>
      <c r="D87" s="222"/>
      <c r="E87" s="222"/>
      <c r="F87" s="222"/>
      <c r="G87" s="222"/>
      <c r="H87" s="222"/>
      <c r="I87" s="222"/>
      <c r="J87" s="222"/>
      <c r="K87" s="222"/>
      <c r="L87" s="222"/>
      <c r="M87" s="222"/>
      <c r="N87" s="222"/>
      <c r="O87" s="222"/>
      <c r="P87" s="222"/>
      <c r="Q87" s="222"/>
      <c r="R87" s="222"/>
      <c r="S87" s="222"/>
      <c r="T87" s="222"/>
      <c r="U87" s="222"/>
      <c r="V87" s="222"/>
      <c r="W87" s="222"/>
      <c r="X87" s="222"/>
      <c r="Y87" s="222"/>
      <c r="Z87" s="222"/>
      <c r="AA87" s="222"/>
      <c r="AB87" s="222"/>
      <c r="AC87" s="222"/>
      <c r="AD87" s="222"/>
      <c r="AE87" s="222"/>
      <c r="AF87" s="222"/>
      <c r="AG87" s="222"/>
      <c r="AH87" s="222"/>
      <c r="AI87" s="222"/>
      <c r="AK87" s="222"/>
      <c r="AL87" s="222"/>
      <c r="AM87" s="222"/>
      <c r="AN87" s="222"/>
      <c r="AO87" s="222"/>
      <c r="AP87" s="222"/>
      <c r="AQ87" s="222"/>
      <c r="AR87" s="222"/>
      <c r="AS87" s="222"/>
      <c r="AT87" s="222"/>
      <c r="AU87" s="222"/>
      <c r="AV87" s="222"/>
      <c r="AW87" s="222"/>
      <c r="AX87" s="222"/>
      <c r="AY87" s="222"/>
      <c r="AZ87" s="222"/>
      <c r="BA87" s="222"/>
      <c r="BB87" s="222"/>
      <c r="BC87" s="222"/>
      <c r="CR87" s="234"/>
      <c r="CS87" s="234"/>
      <c r="DQ87" s="222"/>
      <c r="DR87" s="222"/>
      <c r="DS87" s="222"/>
      <c r="DT87" s="222"/>
      <c r="DW87" s="222"/>
      <c r="DX87" s="222"/>
      <c r="EI87" s="237"/>
    </row>
    <row r="88" spans="1:139" ht="22.5" customHeight="1">
      <c r="A88" s="222"/>
      <c r="B88" s="222"/>
      <c r="D88" s="222"/>
      <c r="E88" s="222"/>
      <c r="F88" s="222"/>
      <c r="G88" s="222"/>
      <c r="H88" s="222"/>
      <c r="I88" s="222"/>
      <c r="J88" s="222"/>
      <c r="K88" s="222"/>
      <c r="L88" s="222"/>
      <c r="M88" s="222"/>
      <c r="N88" s="222"/>
      <c r="O88" s="222"/>
      <c r="P88" s="222"/>
      <c r="Q88" s="222"/>
      <c r="R88" s="222"/>
      <c r="S88" s="222"/>
      <c r="T88" s="222"/>
      <c r="U88" s="222"/>
      <c r="V88" s="222"/>
      <c r="W88" s="222"/>
      <c r="X88" s="222"/>
      <c r="Y88" s="222"/>
      <c r="Z88" s="222"/>
      <c r="AA88" s="222"/>
      <c r="AB88" s="222"/>
      <c r="AC88" s="222"/>
      <c r="AD88" s="222"/>
      <c r="AE88" s="222"/>
      <c r="AF88" s="222"/>
      <c r="AG88" s="222"/>
      <c r="AH88" s="222"/>
      <c r="AI88" s="222"/>
      <c r="AK88" s="222"/>
      <c r="AL88" s="222"/>
      <c r="AM88" s="222"/>
      <c r="AN88" s="222"/>
      <c r="AO88" s="222"/>
      <c r="AP88" s="222"/>
      <c r="AQ88" s="222"/>
      <c r="AR88" s="222"/>
      <c r="AS88" s="222"/>
      <c r="AT88" s="222"/>
      <c r="AU88" s="222"/>
      <c r="AV88" s="222"/>
      <c r="AW88" s="222"/>
      <c r="AX88" s="222"/>
      <c r="AY88" s="222"/>
      <c r="AZ88" s="222"/>
      <c r="BA88" s="222"/>
      <c r="BB88" s="222"/>
      <c r="BC88" s="222"/>
      <c r="CR88" s="234"/>
      <c r="CS88" s="234"/>
      <c r="DQ88" s="222"/>
      <c r="DR88" s="222"/>
      <c r="DS88" s="222"/>
      <c r="DT88" s="222"/>
      <c r="DW88" s="222"/>
      <c r="DX88" s="222"/>
      <c r="EI88" s="237"/>
    </row>
    <row r="89" spans="1:139" ht="22.5" customHeight="1">
      <c r="A89" s="222"/>
      <c r="B89" s="222"/>
      <c r="D89" s="222"/>
      <c r="E89" s="222"/>
      <c r="F89" s="222"/>
      <c r="G89" s="222"/>
      <c r="H89" s="222"/>
      <c r="I89" s="222"/>
      <c r="J89" s="222"/>
      <c r="K89" s="222"/>
      <c r="L89" s="222"/>
      <c r="M89" s="222"/>
      <c r="N89" s="222"/>
      <c r="O89" s="222"/>
      <c r="P89" s="222"/>
      <c r="Q89" s="222"/>
      <c r="R89" s="222"/>
      <c r="S89" s="222"/>
      <c r="T89" s="222"/>
      <c r="U89" s="222"/>
      <c r="V89" s="222"/>
      <c r="W89" s="222"/>
      <c r="X89" s="222"/>
      <c r="Y89" s="222"/>
      <c r="Z89" s="222"/>
      <c r="AA89" s="222"/>
      <c r="AB89" s="222"/>
      <c r="AC89" s="222"/>
      <c r="AD89" s="222"/>
      <c r="AE89" s="222"/>
      <c r="AF89" s="222"/>
      <c r="AG89" s="222"/>
      <c r="AH89" s="222"/>
      <c r="AI89" s="222"/>
      <c r="AK89" s="222"/>
      <c r="AL89" s="222"/>
      <c r="AM89" s="222"/>
      <c r="AN89" s="222"/>
      <c r="AO89" s="222"/>
      <c r="AP89" s="222"/>
      <c r="AQ89" s="222"/>
      <c r="AR89" s="222"/>
      <c r="AS89" s="222"/>
      <c r="AT89" s="222"/>
      <c r="AU89" s="222"/>
      <c r="AV89" s="222"/>
      <c r="AW89" s="222"/>
      <c r="AX89" s="222"/>
      <c r="AY89" s="222"/>
      <c r="AZ89" s="222"/>
      <c r="BA89" s="222"/>
      <c r="BB89" s="222"/>
      <c r="BC89" s="222"/>
      <c r="CR89" s="234"/>
      <c r="CS89" s="234"/>
      <c r="DQ89" s="222"/>
      <c r="DR89" s="222"/>
      <c r="DS89" s="222"/>
      <c r="DT89" s="222"/>
      <c r="DW89" s="222"/>
      <c r="DX89" s="222"/>
      <c r="EI89" s="237"/>
    </row>
    <row r="90" spans="1:139" ht="22.5" customHeight="1">
      <c r="A90" s="222"/>
      <c r="B90" s="222"/>
      <c r="D90" s="222"/>
      <c r="E90" s="222"/>
      <c r="F90" s="222"/>
      <c r="G90" s="222"/>
      <c r="H90" s="222"/>
      <c r="I90" s="222"/>
      <c r="J90" s="222"/>
      <c r="K90" s="222"/>
      <c r="L90" s="222"/>
      <c r="M90" s="222"/>
      <c r="N90" s="222"/>
      <c r="O90" s="222"/>
      <c r="P90" s="222"/>
      <c r="Q90" s="222"/>
      <c r="R90" s="222"/>
      <c r="S90" s="222"/>
      <c r="T90" s="222"/>
      <c r="U90" s="222"/>
      <c r="V90" s="222"/>
      <c r="W90" s="222"/>
      <c r="X90" s="222"/>
      <c r="Y90" s="222"/>
      <c r="Z90" s="222"/>
      <c r="AA90" s="222"/>
      <c r="AB90" s="222"/>
      <c r="AC90" s="222"/>
      <c r="AD90" s="222"/>
      <c r="AE90" s="222"/>
      <c r="AF90" s="222"/>
      <c r="AG90" s="222"/>
      <c r="AH90" s="222"/>
      <c r="AI90" s="222"/>
      <c r="AK90" s="222"/>
      <c r="AL90" s="222"/>
      <c r="AM90" s="222"/>
      <c r="AN90" s="222"/>
      <c r="AO90" s="222"/>
      <c r="AP90" s="222"/>
      <c r="AQ90" s="222"/>
      <c r="AR90" s="222"/>
      <c r="AS90" s="222"/>
      <c r="AT90" s="222"/>
      <c r="AU90" s="222"/>
      <c r="AV90" s="222"/>
      <c r="AW90" s="222"/>
      <c r="AX90" s="222"/>
      <c r="AY90" s="222"/>
      <c r="AZ90" s="222"/>
      <c r="BA90" s="222"/>
      <c r="BB90" s="222"/>
      <c r="BC90" s="222"/>
      <c r="CR90" s="234"/>
      <c r="CS90" s="234"/>
      <c r="DQ90" s="222"/>
      <c r="DR90" s="222"/>
      <c r="DS90" s="222"/>
      <c r="DT90" s="222"/>
      <c r="DW90" s="222"/>
      <c r="DX90" s="222"/>
      <c r="EI90" s="237"/>
    </row>
    <row r="91" spans="1:139" ht="22.5" customHeight="1">
      <c r="A91" s="222"/>
      <c r="B91" s="222"/>
      <c r="D91" s="222"/>
      <c r="E91" s="222"/>
      <c r="F91" s="222"/>
      <c r="G91" s="222"/>
      <c r="H91" s="222"/>
      <c r="I91" s="222"/>
      <c r="J91" s="222"/>
      <c r="K91" s="222"/>
      <c r="L91" s="222"/>
      <c r="M91" s="222"/>
      <c r="N91" s="222"/>
      <c r="O91" s="222"/>
      <c r="P91" s="222"/>
      <c r="Q91" s="222"/>
      <c r="R91" s="222"/>
      <c r="S91" s="222"/>
      <c r="T91" s="222"/>
      <c r="U91" s="222"/>
      <c r="V91" s="222"/>
      <c r="W91" s="222"/>
      <c r="X91" s="222"/>
      <c r="Y91" s="222"/>
      <c r="Z91" s="222"/>
      <c r="AA91" s="222"/>
      <c r="AB91" s="222"/>
      <c r="AC91" s="222"/>
      <c r="AD91" s="222"/>
      <c r="AE91" s="222"/>
      <c r="AF91" s="222"/>
      <c r="AG91" s="222"/>
      <c r="AH91" s="222"/>
      <c r="AI91" s="222"/>
      <c r="AK91" s="222"/>
      <c r="AL91" s="222"/>
      <c r="AM91" s="222"/>
      <c r="AN91" s="222"/>
      <c r="AO91" s="222"/>
      <c r="AP91" s="222"/>
      <c r="AQ91" s="222"/>
      <c r="AR91" s="222"/>
      <c r="AS91" s="222"/>
      <c r="AT91" s="222"/>
      <c r="AU91" s="222"/>
      <c r="AV91" s="222"/>
      <c r="AW91" s="222"/>
      <c r="AX91" s="222"/>
      <c r="AY91" s="222"/>
      <c r="AZ91" s="222"/>
      <c r="BA91" s="222"/>
      <c r="BB91" s="222"/>
      <c r="BC91" s="222"/>
      <c r="CR91" s="234"/>
      <c r="CS91" s="234"/>
      <c r="DQ91" s="222"/>
      <c r="DR91" s="222"/>
      <c r="DS91" s="222"/>
      <c r="DT91" s="222"/>
      <c r="DW91" s="222"/>
      <c r="DX91" s="222"/>
      <c r="EI91" s="237"/>
    </row>
    <row r="92" spans="1:139" ht="22.5" customHeight="1">
      <c r="A92" s="222"/>
      <c r="B92" s="222"/>
      <c r="D92" s="222"/>
      <c r="E92" s="222"/>
      <c r="F92" s="222"/>
      <c r="G92" s="222"/>
      <c r="H92" s="222"/>
      <c r="I92" s="222"/>
      <c r="J92" s="222"/>
      <c r="K92" s="222"/>
      <c r="L92" s="222"/>
      <c r="M92" s="222"/>
      <c r="N92" s="222"/>
      <c r="O92" s="222"/>
      <c r="P92" s="222"/>
      <c r="Q92" s="222"/>
      <c r="R92" s="222"/>
      <c r="S92" s="222"/>
      <c r="T92" s="222"/>
      <c r="U92" s="222"/>
      <c r="V92" s="222"/>
      <c r="W92" s="222"/>
      <c r="X92" s="222"/>
      <c r="Y92" s="222"/>
      <c r="Z92" s="222"/>
      <c r="AA92" s="222"/>
      <c r="AB92" s="222"/>
      <c r="AC92" s="222"/>
      <c r="AD92" s="222"/>
      <c r="AE92" s="222"/>
      <c r="AF92" s="222"/>
      <c r="AG92" s="222"/>
      <c r="AH92" s="222"/>
      <c r="AI92" s="222"/>
      <c r="AK92" s="222"/>
      <c r="AL92" s="222"/>
      <c r="AM92" s="222"/>
      <c r="AN92" s="222"/>
      <c r="AO92" s="222"/>
      <c r="AP92" s="222"/>
      <c r="AQ92" s="222"/>
      <c r="AR92" s="222"/>
      <c r="AS92" s="222"/>
      <c r="AT92" s="222"/>
      <c r="AU92" s="222"/>
      <c r="AV92" s="222"/>
      <c r="AW92" s="222"/>
      <c r="AX92" s="222"/>
      <c r="AY92" s="222"/>
      <c r="AZ92" s="222"/>
      <c r="BA92" s="222"/>
      <c r="BB92" s="222"/>
      <c r="BC92" s="222"/>
      <c r="CR92" s="234"/>
      <c r="CS92" s="234"/>
      <c r="DQ92" s="222"/>
      <c r="DR92" s="222"/>
      <c r="DS92" s="222"/>
      <c r="DT92" s="222"/>
      <c r="DW92" s="222"/>
      <c r="DX92" s="222"/>
      <c r="EI92" s="237"/>
    </row>
    <row r="93" spans="1:139" ht="22.5" customHeight="1">
      <c r="A93" s="222"/>
      <c r="B93" s="222"/>
      <c r="D93" s="222"/>
      <c r="E93" s="222"/>
      <c r="F93" s="222"/>
      <c r="G93" s="222"/>
      <c r="H93" s="222"/>
      <c r="I93" s="222"/>
      <c r="J93" s="222"/>
      <c r="K93" s="222"/>
      <c r="L93" s="222"/>
      <c r="M93" s="222"/>
      <c r="N93" s="222"/>
      <c r="O93" s="222"/>
      <c r="P93" s="222"/>
      <c r="Q93" s="222"/>
      <c r="R93" s="222"/>
      <c r="S93" s="222"/>
      <c r="T93" s="222"/>
      <c r="U93" s="222"/>
      <c r="V93" s="222"/>
      <c r="W93" s="222"/>
      <c r="X93" s="222"/>
      <c r="Y93" s="222"/>
      <c r="Z93" s="222"/>
      <c r="AA93" s="222"/>
      <c r="AB93" s="222"/>
      <c r="AC93" s="222"/>
      <c r="AD93" s="222"/>
      <c r="AE93" s="222"/>
      <c r="AF93" s="222"/>
      <c r="AG93" s="222"/>
      <c r="AH93" s="222"/>
      <c r="AI93" s="222"/>
      <c r="AK93" s="222"/>
      <c r="AL93" s="222"/>
      <c r="AM93" s="222"/>
      <c r="AN93" s="222"/>
      <c r="AO93" s="222"/>
      <c r="AP93" s="222"/>
      <c r="AQ93" s="222"/>
      <c r="AR93" s="222"/>
      <c r="AS93" s="222"/>
      <c r="AT93" s="222"/>
      <c r="AU93" s="222"/>
      <c r="AV93" s="222"/>
      <c r="AW93" s="222"/>
      <c r="AX93" s="222"/>
      <c r="AY93" s="222"/>
      <c r="AZ93" s="222"/>
      <c r="BA93" s="222"/>
      <c r="BB93" s="222"/>
      <c r="BC93" s="222"/>
      <c r="CR93" s="234"/>
      <c r="CS93" s="234"/>
      <c r="DQ93" s="222"/>
      <c r="DR93" s="222"/>
      <c r="DS93" s="222"/>
      <c r="DT93" s="222"/>
      <c r="DW93" s="222"/>
      <c r="DX93" s="222"/>
      <c r="EI93" s="237"/>
    </row>
    <row r="94" spans="1:139" ht="22.5" customHeight="1">
      <c r="A94" s="222"/>
      <c r="B94" s="222"/>
      <c r="D94" s="222"/>
      <c r="E94" s="222"/>
      <c r="F94" s="222"/>
      <c r="G94" s="222"/>
      <c r="H94" s="222"/>
      <c r="I94" s="222"/>
      <c r="J94" s="222"/>
      <c r="K94" s="222"/>
      <c r="L94" s="222"/>
      <c r="M94" s="222"/>
      <c r="N94" s="222"/>
      <c r="O94" s="222"/>
      <c r="P94" s="222"/>
      <c r="Q94" s="222"/>
      <c r="R94" s="222"/>
      <c r="S94" s="222"/>
      <c r="T94" s="222"/>
      <c r="U94" s="222"/>
      <c r="V94" s="222"/>
      <c r="W94" s="222"/>
      <c r="X94" s="222"/>
      <c r="Y94" s="222"/>
      <c r="Z94" s="222"/>
      <c r="AA94" s="222"/>
      <c r="AB94" s="222"/>
      <c r="AC94" s="222"/>
      <c r="AD94" s="222"/>
      <c r="AE94" s="222"/>
      <c r="AF94" s="222"/>
      <c r="AG94" s="222"/>
      <c r="AH94" s="222"/>
      <c r="AI94" s="222"/>
      <c r="AK94" s="222"/>
      <c r="AL94" s="222"/>
      <c r="AM94" s="222"/>
      <c r="AN94" s="222"/>
      <c r="AO94" s="222"/>
      <c r="AP94" s="222"/>
      <c r="AQ94" s="222"/>
      <c r="AR94" s="222"/>
      <c r="AS94" s="222"/>
      <c r="AT94" s="222"/>
      <c r="AU94" s="222"/>
      <c r="AV94" s="222"/>
      <c r="AW94" s="222"/>
      <c r="AX94" s="222"/>
      <c r="AY94" s="222"/>
      <c r="AZ94" s="222"/>
      <c r="BA94" s="222"/>
      <c r="BB94" s="222"/>
      <c r="BC94" s="222"/>
      <c r="CR94" s="234"/>
      <c r="CS94" s="234"/>
      <c r="DQ94" s="222"/>
      <c r="DR94" s="222"/>
      <c r="DS94" s="222"/>
      <c r="DT94" s="222"/>
      <c r="DW94" s="222"/>
      <c r="DX94" s="222"/>
      <c r="EI94" s="237"/>
    </row>
    <row r="95" spans="1:139" ht="22.5" customHeight="1">
      <c r="A95" s="222"/>
      <c r="B95" s="222"/>
      <c r="D95" s="222"/>
      <c r="E95" s="222"/>
      <c r="F95" s="222"/>
      <c r="G95" s="222"/>
      <c r="H95" s="222"/>
      <c r="I95" s="222"/>
      <c r="J95" s="222"/>
      <c r="K95" s="222"/>
      <c r="L95" s="222"/>
      <c r="M95" s="222"/>
      <c r="N95" s="222"/>
      <c r="O95" s="222"/>
      <c r="P95" s="222"/>
      <c r="Q95" s="222"/>
      <c r="R95" s="222"/>
      <c r="S95" s="222"/>
      <c r="T95" s="222"/>
      <c r="U95" s="222"/>
      <c r="V95" s="222"/>
      <c r="W95" s="222"/>
      <c r="X95" s="222"/>
      <c r="Y95" s="222"/>
      <c r="Z95" s="222"/>
      <c r="AA95" s="222"/>
      <c r="AB95" s="222"/>
      <c r="AC95" s="222"/>
      <c r="AD95" s="222"/>
      <c r="AE95" s="222"/>
      <c r="AF95" s="222"/>
      <c r="AG95" s="222"/>
      <c r="AH95" s="222"/>
      <c r="AI95" s="222"/>
      <c r="AK95" s="222"/>
      <c r="AL95" s="222"/>
      <c r="AM95" s="222"/>
      <c r="AN95" s="222"/>
      <c r="AO95" s="222"/>
      <c r="AP95" s="222"/>
      <c r="AQ95" s="222"/>
      <c r="AR95" s="222"/>
      <c r="AS95" s="222"/>
      <c r="AT95" s="222"/>
      <c r="AU95" s="222"/>
      <c r="AV95" s="222"/>
      <c r="AW95" s="222"/>
      <c r="AX95" s="222"/>
      <c r="AY95" s="222"/>
      <c r="AZ95" s="222"/>
      <c r="BA95" s="222"/>
      <c r="BB95" s="222"/>
      <c r="BC95" s="222"/>
      <c r="CR95" s="234"/>
      <c r="CS95" s="234"/>
      <c r="DQ95" s="222"/>
      <c r="DR95" s="222"/>
      <c r="DS95" s="222"/>
      <c r="DT95" s="222"/>
      <c r="DW95" s="222"/>
      <c r="DX95" s="222"/>
      <c r="EI95" s="237"/>
    </row>
    <row r="96" spans="1:139" ht="22.5" customHeight="1">
      <c r="A96" s="222"/>
      <c r="B96" s="222"/>
      <c r="D96" s="222"/>
      <c r="E96" s="222"/>
      <c r="F96" s="222"/>
      <c r="G96" s="222"/>
      <c r="H96" s="222"/>
      <c r="I96" s="222"/>
      <c r="J96" s="222"/>
      <c r="K96" s="222"/>
      <c r="L96" s="222"/>
      <c r="M96" s="222"/>
      <c r="N96" s="222"/>
      <c r="O96" s="222"/>
      <c r="P96" s="222"/>
      <c r="Q96" s="222"/>
      <c r="R96" s="222"/>
      <c r="S96" s="222"/>
      <c r="T96" s="222"/>
      <c r="U96" s="222"/>
      <c r="V96" s="222"/>
      <c r="W96" s="222"/>
      <c r="X96" s="222"/>
      <c r="Y96" s="222"/>
      <c r="Z96" s="222"/>
      <c r="AA96" s="222"/>
      <c r="AB96" s="222"/>
      <c r="AC96" s="222"/>
      <c r="AD96" s="222"/>
      <c r="AE96" s="222"/>
      <c r="AF96" s="222"/>
      <c r="AG96" s="222"/>
      <c r="AH96" s="222"/>
      <c r="AI96" s="222"/>
      <c r="AK96" s="222"/>
      <c r="AL96" s="222"/>
      <c r="AM96" s="222"/>
      <c r="AN96" s="222"/>
      <c r="AO96" s="222"/>
      <c r="AP96" s="222"/>
      <c r="AQ96" s="222"/>
      <c r="AR96" s="222"/>
      <c r="AS96" s="222"/>
      <c r="AT96" s="222"/>
      <c r="AU96" s="222"/>
      <c r="AV96" s="222"/>
      <c r="AW96" s="222"/>
      <c r="AX96" s="222"/>
      <c r="AY96" s="222"/>
      <c r="AZ96" s="222"/>
      <c r="BA96" s="222"/>
      <c r="BB96" s="222"/>
      <c r="BC96" s="222"/>
      <c r="CR96" s="234"/>
      <c r="CS96" s="234"/>
      <c r="DQ96" s="222"/>
      <c r="DR96" s="222"/>
      <c r="DS96" s="222"/>
      <c r="DT96" s="222"/>
      <c r="DW96" s="222"/>
      <c r="DX96" s="222"/>
      <c r="EI96" s="237"/>
    </row>
    <row r="97" spans="1:139" ht="22.5" customHeight="1">
      <c r="A97" s="222"/>
      <c r="B97" s="222"/>
      <c r="D97" s="222"/>
      <c r="E97" s="222"/>
      <c r="F97" s="222"/>
      <c r="G97" s="222"/>
      <c r="H97" s="222"/>
      <c r="I97" s="222"/>
      <c r="J97" s="222"/>
      <c r="K97" s="222"/>
      <c r="L97" s="222"/>
      <c r="M97" s="222"/>
      <c r="N97" s="222"/>
      <c r="O97" s="222"/>
      <c r="P97" s="222"/>
      <c r="Q97" s="222"/>
      <c r="R97" s="222"/>
      <c r="S97" s="222"/>
      <c r="T97" s="222"/>
      <c r="U97" s="222"/>
      <c r="V97" s="222"/>
      <c r="W97" s="222"/>
      <c r="X97" s="222"/>
      <c r="Y97" s="222"/>
      <c r="Z97" s="222"/>
      <c r="AA97" s="222"/>
      <c r="AB97" s="222"/>
      <c r="AC97" s="222"/>
      <c r="AD97" s="222"/>
      <c r="AE97" s="222"/>
      <c r="AF97" s="222"/>
      <c r="AG97" s="222"/>
      <c r="AH97" s="222"/>
      <c r="AI97" s="222"/>
      <c r="AK97" s="222"/>
      <c r="AL97" s="222"/>
      <c r="AM97" s="222"/>
      <c r="AN97" s="222"/>
      <c r="AO97" s="222"/>
      <c r="AP97" s="222"/>
      <c r="AQ97" s="222"/>
      <c r="AR97" s="222"/>
      <c r="AS97" s="222"/>
      <c r="AT97" s="222"/>
      <c r="AU97" s="222"/>
      <c r="AV97" s="222"/>
      <c r="AW97" s="222"/>
      <c r="AX97" s="222"/>
      <c r="AY97" s="222"/>
      <c r="AZ97" s="222"/>
      <c r="BA97" s="222"/>
      <c r="BB97" s="222"/>
      <c r="BC97" s="222"/>
      <c r="CR97" s="234"/>
      <c r="CS97" s="234"/>
      <c r="DQ97" s="222"/>
      <c r="DR97" s="222"/>
      <c r="DS97" s="222"/>
      <c r="DT97" s="222"/>
      <c r="DW97" s="222"/>
      <c r="DX97" s="222"/>
      <c r="EI97" s="237"/>
    </row>
    <row r="98" spans="1:139" ht="22.5" customHeight="1">
      <c r="A98" s="222"/>
      <c r="B98" s="222"/>
      <c r="D98" s="222"/>
      <c r="E98" s="222"/>
      <c r="F98" s="222"/>
      <c r="G98" s="222"/>
      <c r="H98" s="222"/>
      <c r="I98" s="222"/>
      <c r="J98" s="222"/>
      <c r="K98" s="222"/>
      <c r="L98" s="222"/>
      <c r="M98" s="222"/>
      <c r="N98" s="222"/>
      <c r="O98" s="222"/>
      <c r="P98" s="222"/>
      <c r="Q98" s="222"/>
      <c r="R98" s="222"/>
      <c r="S98" s="222"/>
      <c r="T98" s="222"/>
      <c r="U98" s="222"/>
      <c r="V98" s="222"/>
      <c r="W98" s="222"/>
      <c r="X98" s="222"/>
      <c r="Y98" s="222"/>
      <c r="Z98" s="222"/>
      <c r="AA98" s="222"/>
      <c r="AB98" s="222"/>
      <c r="AC98" s="222"/>
      <c r="AD98" s="222"/>
      <c r="AE98" s="222"/>
      <c r="AF98" s="222"/>
      <c r="AG98" s="222"/>
      <c r="AH98" s="222"/>
      <c r="AI98" s="222"/>
      <c r="AK98" s="222"/>
      <c r="AL98" s="222"/>
      <c r="AM98" s="222"/>
      <c r="AN98" s="222"/>
      <c r="AO98" s="222"/>
      <c r="AP98" s="222"/>
      <c r="AQ98" s="222"/>
      <c r="AR98" s="222"/>
      <c r="AS98" s="222"/>
      <c r="AT98" s="222"/>
      <c r="AU98" s="222"/>
      <c r="AV98" s="222"/>
      <c r="AW98" s="222"/>
      <c r="AX98" s="222"/>
      <c r="AY98" s="222"/>
      <c r="AZ98" s="222"/>
      <c r="BA98" s="222"/>
      <c r="BB98" s="222"/>
      <c r="BC98" s="222"/>
      <c r="CR98" s="234"/>
      <c r="CS98" s="234"/>
      <c r="DQ98" s="222"/>
      <c r="DR98" s="222"/>
      <c r="DS98" s="222"/>
      <c r="DT98" s="222"/>
      <c r="DW98" s="222"/>
      <c r="DX98" s="222"/>
      <c r="EI98" s="237"/>
    </row>
    <row r="99" spans="1:139" ht="22.5" customHeight="1">
      <c r="A99" s="222"/>
      <c r="B99" s="222"/>
      <c r="D99" s="222"/>
      <c r="E99" s="222"/>
      <c r="F99" s="222"/>
      <c r="G99" s="222"/>
      <c r="H99" s="222"/>
      <c r="I99" s="222"/>
      <c r="J99" s="222"/>
      <c r="K99" s="222"/>
      <c r="L99" s="222"/>
      <c r="M99" s="222"/>
      <c r="N99" s="222"/>
      <c r="O99" s="222"/>
      <c r="P99" s="222"/>
      <c r="Q99" s="222"/>
      <c r="R99" s="222"/>
      <c r="S99" s="222"/>
      <c r="T99" s="222"/>
      <c r="U99" s="222"/>
      <c r="V99" s="222"/>
      <c r="W99" s="222"/>
      <c r="X99" s="222"/>
      <c r="Y99" s="222"/>
      <c r="Z99" s="222"/>
      <c r="AA99" s="222"/>
      <c r="AB99" s="222"/>
      <c r="AC99" s="222"/>
      <c r="AD99" s="222"/>
      <c r="AE99" s="222"/>
      <c r="AF99" s="222"/>
      <c r="AG99" s="222"/>
      <c r="AH99" s="222"/>
      <c r="AI99" s="222"/>
      <c r="AK99" s="222"/>
      <c r="AL99" s="222"/>
      <c r="AM99" s="222"/>
      <c r="AN99" s="222"/>
      <c r="AO99" s="222"/>
      <c r="AP99" s="222"/>
      <c r="AQ99" s="222"/>
      <c r="AR99" s="222"/>
      <c r="AS99" s="222"/>
      <c r="AT99" s="222"/>
      <c r="AU99" s="222"/>
      <c r="AV99" s="222"/>
      <c r="AW99" s="222"/>
      <c r="AX99" s="222"/>
      <c r="AY99" s="222"/>
      <c r="AZ99" s="222"/>
      <c r="BA99" s="222"/>
      <c r="BB99" s="222"/>
      <c r="BC99" s="222"/>
      <c r="CR99" s="234"/>
      <c r="CS99" s="234"/>
      <c r="DQ99" s="222"/>
      <c r="DR99" s="222"/>
      <c r="DS99" s="222"/>
      <c r="DT99" s="222"/>
      <c r="DW99" s="222"/>
      <c r="DX99" s="222"/>
      <c r="EI99" s="237"/>
    </row>
    <row r="100" spans="1:139" ht="22.5" customHeight="1">
      <c r="A100" s="222"/>
      <c r="B100" s="222"/>
      <c r="D100" s="222"/>
      <c r="E100" s="222"/>
      <c r="F100" s="222"/>
      <c r="G100" s="222"/>
      <c r="H100" s="222"/>
      <c r="I100" s="222"/>
      <c r="J100" s="222"/>
      <c r="K100" s="222"/>
      <c r="L100" s="222"/>
      <c r="M100" s="222"/>
      <c r="N100" s="222"/>
      <c r="O100" s="222"/>
      <c r="P100" s="222"/>
      <c r="Q100" s="222"/>
      <c r="R100" s="222"/>
      <c r="S100" s="222"/>
      <c r="T100" s="222"/>
      <c r="U100" s="222"/>
      <c r="V100" s="222"/>
      <c r="W100" s="222"/>
      <c r="X100" s="222"/>
      <c r="Y100" s="222"/>
      <c r="Z100" s="222"/>
      <c r="AA100" s="222"/>
      <c r="AB100" s="222"/>
      <c r="AC100" s="222"/>
      <c r="AD100" s="222"/>
      <c r="AE100" s="222"/>
      <c r="AF100" s="222"/>
      <c r="AG100" s="222"/>
      <c r="AH100" s="222"/>
      <c r="AI100" s="222"/>
      <c r="AK100" s="222"/>
      <c r="AL100" s="222"/>
      <c r="AM100" s="222"/>
      <c r="AN100" s="222"/>
      <c r="AO100" s="222"/>
      <c r="AP100" s="222"/>
      <c r="AQ100" s="222"/>
      <c r="AR100" s="222"/>
      <c r="AS100" s="222"/>
      <c r="AT100" s="222"/>
      <c r="AU100" s="222"/>
      <c r="AV100" s="222"/>
      <c r="AW100" s="222"/>
      <c r="AX100" s="222"/>
      <c r="AY100" s="222"/>
      <c r="AZ100" s="222"/>
      <c r="BA100" s="222"/>
      <c r="BB100" s="222"/>
      <c r="BC100" s="222"/>
      <c r="CR100" s="234"/>
      <c r="CS100" s="234"/>
      <c r="DQ100" s="222"/>
      <c r="DR100" s="222"/>
      <c r="DS100" s="222"/>
      <c r="DT100" s="222"/>
      <c r="DW100" s="222"/>
      <c r="DX100" s="222"/>
      <c r="EI100" s="237"/>
    </row>
    <row r="101" spans="1:139" ht="22.5" customHeight="1">
      <c r="A101" s="222"/>
      <c r="B101" s="222"/>
      <c r="D101" s="222"/>
      <c r="E101" s="222"/>
      <c r="F101" s="222"/>
      <c r="G101" s="222"/>
      <c r="H101" s="222"/>
      <c r="I101" s="222"/>
      <c r="J101" s="222"/>
      <c r="K101" s="222"/>
      <c r="L101" s="222"/>
      <c r="M101" s="222"/>
      <c r="N101" s="222"/>
      <c r="O101" s="222"/>
      <c r="P101" s="222"/>
      <c r="Q101" s="222"/>
      <c r="R101" s="222"/>
      <c r="S101" s="222"/>
      <c r="T101" s="222"/>
      <c r="U101" s="222"/>
      <c r="V101" s="222"/>
      <c r="W101" s="222"/>
      <c r="X101" s="222"/>
      <c r="Y101" s="222"/>
      <c r="Z101" s="222"/>
      <c r="AA101" s="222"/>
      <c r="AB101" s="222"/>
      <c r="AC101" s="222"/>
      <c r="AD101" s="222"/>
      <c r="AE101" s="222"/>
      <c r="AF101" s="222"/>
      <c r="AG101" s="222"/>
      <c r="AH101" s="222"/>
      <c r="AI101" s="222"/>
      <c r="AK101" s="222"/>
      <c r="AL101" s="222"/>
      <c r="AM101" s="222"/>
      <c r="AN101" s="222"/>
      <c r="AO101" s="222"/>
      <c r="AP101" s="222"/>
      <c r="AQ101" s="222"/>
      <c r="AR101" s="222"/>
      <c r="AS101" s="222"/>
      <c r="AT101" s="222"/>
      <c r="AU101" s="222"/>
      <c r="AV101" s="222"/>
      <c r="AW101" s="222"/>
      <c r="AX101" s="222"/>
      <c r="AY101" s="222"/>
      <c r="AZ101" s="222"/>
      <c r="BA101" s="222"/>
      <c r="BB101" s="222"/>
      <c r="BC101" s="222"/>
      <c r="CR101" s="234"/>
      <c r="CS101" s="234"/>
      <c r="DQ101" s="222"/>
      <c r="DR101" s="222"/>
      <c r="DS101" s="222"/>
      <c r="DT101" s="222"/>
      <c r="DW101" s="222"/>
      <c r="DX101" s="222"/>
      <c r="EI101" s="237"/>
    </row>
    <row r="102" spans="1:139" ht="22.5" customHeight="1">
      <c r="A102" s="222"/>
      <c r="B102" s="222"/>
      <c r="D102" s="222"/>
      <c r="E102" s="222"/>
      <c r="F102" s="222"/>
      <c r="G102" s="222"/>
      <c r="H102" s="222"/>
      <c r="I102" s="222"/>
      <c r="J102" s="222"/>
      <c r="K102" s="222"/>
      <c r="L102" s="222"/>
      <c r="M102" s="222"/>
      <c r="N102" s="222"/>
      <c r="O102" s="222"/>
      <c r="P102" s="222"/>
      <c r="Q102" s="222"/>
      <c r="R102" s="222"/>
      <c r="S102" s="222"/>
      <c r="T102" s="222"/>
      <c r="U102" s="222"/>
      <c r="V102" s="222"/>
      <c r="W102" s="222"/>
      <c r="X102" s="222"/>
      <c r="Y102" s="222"/>
      <c r="Z102" s="222"/>
      <c r="AA102" s="222"/>
      <c r="AB102" s="222"/>
      <c r="AC102" s="222"/>
      <c r="AD102" s="222"/>
      <c r="AE102" s="222"/>
      <c r="AF102" s="222"/>
      <c r="AG102" s="222"/>
      <c r="AH102" s="222"/>
      <c r="AI102" s="222"/>
      <c r="AK102" s="222"/>
      <c r="AL102" s="222"/>
      <c r="AM102" s="222"/>
      <c r="AN102" s="222"/>
      <c r="AO102" s="222"/>
      <c r="AP102" s="222"/>
      <c r="AQ102" s="222"/>
      <c r="AR102" s="222"/>
      <c r="AS102" s="222"/>
      <c r="AT102" s="222"/>
      <c r="AU102" s="222"/>
      <c r="AV102" s="222"/>
      <c r="AW102" s="222"/>
      <c r="AX102" s="222"/>
      <c r="AY102" s="222"/>
      <c r="AZ102" s="222"/>
      <c r="BA102" s="222"/>
      <c r="BB102" s="222"/>
      <c r="BC102" s="222"/>
      <c r="CR102" s="234"/>
      <c r="CS102" s="234"/>
      <c r="DQ102" s="222"/>
      <c r="DR102" s="222"/>
      <c r="DS102" s="222"/>
      <c r="DT102" s="222"/>
      <c r="DW102" s="222"/>
      <c r="DX102" s="222"/>
      <c r="EI102" s="237"/>
    </row>
    <row r="103" spans="1:139" ht="22.5" customHeight="1">
      <c r="A103" s="222"/>
      <c r="B103" s="222"/>
      <c r="D103" s="222"/>
      <c r="E103" s="222"/>
      <c r="F103" s="222"/>
      <c r="G103" s="222"/>
      <c r="H103" s="222"/>
      <c r="I103" s="222"/>
      <c r="J103" s="222"/>
      <c r="K103" s="222"/>
      <c r="L103" s="222"/>
      <c r="M103" s="222"/>
      <c r="N103" s="222"/>
      <c r="O103" s="222"/>
      <c r="P103" s="222"/>
      <c r="Q103" s="222"/>
      <c r="R103" s="222"/>
      <c r="S103" s="222"/>
      <c r="T103" s="222"/>
      <c r="U103" s="222"/>
      <c r="V103" s="222"/>
      <c r="W103" s="222"/>
      <c r="X103" s="222"/>
      <c r="Y103" s="222"/>
      <c r="Z103" s="222"/>
      <c r="AA103" s="222"/>
      <c r="AB103" s="222"/>
      <c r="AC103" s="222"/>
      <c r="AD103" s="222"/>
      <c r="AE103" s="222"/>
      <c r="AF103" s="222"/>
      <c r="AG103" s="222"/>
      <c r="AH103" s="222"/>
      <c r="AI103" s="222"/>
      <c r="AK103" s="222"/>
      <c r="AL103" s="222"/>
      <c r="AM103" s="222"/>
      <c r="AN103" s="222"/>
      <c r="AO103" s="222"/>
      <c r="AP103" s="222"/>
      <c r="AQ103" s="222"/>
      <c r="AR103" s="222"/>
      <c r="AS103" s="222"/>
      <c r="AT103" s="222"/>
      <c r="AU103" s="222"/>
      <c r="AV103" s="222"/>
      <c r="AW103" s="222"/>
      <c r="AX103" s="222"/>
      <c r="AY103" s="222"/>
      <c r="AZ103" s="222"/>
      <c r="BA103" s="222"/>
      <c r="BB103" s="222"/>
      <c r="BC103" s="222"/>
      <c r="CR103" s="234"/>
      <c r="CS103" s="234"/>
      <c r="DQ103" s="222"/>
      <c r="DR103" s="222"/>
      <c r="DS103" s="222"/>
      <c r="DT103" s="222"/>
      <c r="DW103" s="222"/>
      <c r="DX103" s="222"/>
      <c r="EI103" s="237"/>
    </row>
    <row r="104" spans="1:139" ht="22.5" customHeight="1">
      <c r="A104" s="222"/>
      <c r="B104" s="222"/>
      <c r="D104" s="222"/>
      <c r="E104" s="222"/>
      <c r="F104" s="222"/>
      <c r="G104" s="222"/>
      <c r="H104" s="222"/>
      <c r="I104" s="222"/>
      <c r="J104" s="222"/>
      <c r="K104" s="222"/>
      <c r="L104" s="222"/>
      <c r="M104" s="222"/>
      <c r="N104" s="222"/>
      <c r="O104" s="222"/>
      <c r="P104" s="222"/>
      <c r="Q104" s="222"/>
      <c r="R104" s="222"/>
      <c r="S104" s="222"/>
      <c r="T104" s="222"/>
      <c r="U104" s="222"/>
      <c r="V104" s="222"/>
      <c r="W104" s="222"/>
      <c r="X104" s="222"/>
      <c r="Y104" s="222"/>
      <c r="Z104" s="222"/>
      <c r="AA104" s="222"/>
      <c r="AB104" s="222"/>
      <c r="AC104" s="222"/>
      <c r="AD104" s="222"/>
      <c r="AE104" s="222"/>
      <c r="AF104" s="222"/>
      <c r="AG104" s="222"/>
      <c r="AH104" s="222"/>
      <c r="AI104" s="222"/>
      <c r="AK104" s="222"/>
      <c r="AL104" s="222"/>
      <c r="AM104" s="222"/>
      <c r="AN104" s="222"/>
      <c r="AO104" s="222"/>
      <c r="AP104" s="222"/>
      <c r="AQ104" s="222"/>
      <c r="AR104" s="222"/>
      <c r="AS104" s="222"/>
      <c r="AT104" s="222"/>
      <c r="AU104" s="222"/>
      <c r="AV104" s="222"/>
      <c r="AW104" s="222"/>
      <c r="AX104" s="222"/>
      <c r="AY104" s="222"/>
      <c r="AZ104" s="222"/>
      <c r="BA104" s="222"/>
      <c r="BB104" s="222"/>
      <c r="BC104" s="222"/>
      <c r="CR104" s="234"/>
      <c r="CS104" s="234"/>
      <c r="DQ104" s="222"/>
      <c r="DR104" s="222"/>
      <c r="DS104" s="222"/>
      <c r="DT104" s="222"/>
      <c r="DW104" s="222"/>
      <c r="DX104" s="222"/>
      <c r="EI104" s="237"/>
    </row>
    <row r="105" spans="1:139" ht="22.5" customHeight="1">
      <c r="A105" s="222"/>
      <c r="B105" s="222"/>
      <c r="D105" s="222"/>
      <c r="E105" s="222"/>
      <c r="F105" s="222"/>
      <c r="G105" s="222"/>
      <c r="H105" s="222"/>
      <c r="I105" s="222"/>
      <c r="J105" s="222"/>
      <c r="K105" s="222"/>
      <c r="L105" s="222"/>
      <c r="M105" s="222"/>
      <c r="N105" s="222"/>
      <c r="O105" s="222"/>
      <c r="P105" s="222"/>
      <c r="Q105" s="222"/>
      <c r="R105" s="222"/>
      <c r="S105" s="222"/>
      <c r="T105" s="222"/>
      <c r="U105" s="222"/>
      <c r="V105" s="222"/>
      <c r="W105" s="222"/>
      <c r="X105" s="222"/>
      <c r="Y105" s="222"/>
      <c r="Z105" s="222"/>
      <c r="AA105" s="222"/>
      <c r="AB105" s="222"/>
      <c r="AC105" s="222"/>
      <c r="AD105" s="222"/>
      <c r="AE105" s="222"/>
      <c r="AF105" s="222"/>
      <c r="AG105" s="222"/>
      <c r="AH105" s="222"/>
      <c r="AI105" s="222"/>
      <c r="AK105" s="222"/>
      <c r="AL105" s="222"/>
      <c r="AM105" s="222"/>
      <c r="AN105" s="222"/>
      <c r="AO105" s="222"/>
      <c r="AP105" s="222"/>
      <c r="AQ105" s="222"/>
      <c r="AR105" s="222"/>
      <c r="AS105" s="222"/>
      <c r="AT105" s="222"/>
      <c r="AU105" s="222"/>
      <c r="AV105" s="222"/>
      <c r="AW105" s="222"/>
      <c r="AX105" s="222"/>
      <c r="AY105" s="222"/>
      <c r="AZ105" s="222"/>
      <c r="BA105" s="222"/>
      <c r="BB105" s="222"/>
      <c r="BC105" s="222"/>
      <c r="CR105" s="234"/>
      <c r="CS105" s="234"/>
      <c r="DQ105" s="222"/>
      <c r="DR105" s="222"/>
      <c r="DS105" s="222"/>
      <c r="DT105" s="222"/>
      <c r="DW105" s="222"/>
      <c r="DX105" s="222"/>
      <c r="EI105" s="237"/>
    </row>
    <row r="106" spans="1:139" ht="22.5" customHeight="1">
      <c r="A106" s="222"/>
      <c r="B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K106" s="222"/>
      <c r="AL106" s="222"/>
      <c r="AM106" s="222"/>
      <c r="AN106" s="222"/>
      <c r="AO106" s="222"/>
      <c r="AP106" s="222"/>
      <c r="AQ106" s="222"/>
      <c r="AR106" s="222"/>
      <c r="AS106" s="222"/>
      <c r="AT106" s="222"/>
      <c r="AU106" s="222"/>
      <c r="AV106" s="222"/>
      <c r="AW106" s="222"/>
      <c r="AX106" s="222"/>
      <c r="AY106" s="222"/>
      <c r="AZ106" s="222"/>
      <c r="BA106" s="222"/>
      <c r="BB106" s="222"/>
      <c r="BC106" s="222"/>
      <c r="CR106" s="234"/>
      <c r="CS106" s="234"/>
      <c r="DQ106" s="222"/>
      <c r="DR106" s="222"/>
      <c r="DS106" s="222"/>
      <c r="DT106" s="222"/>
      <c r="DW106" s="222"/>
      <c r="DX106" s="222"/>
      <c r="EI106" s="237"/>
    </row>
    <row r="107" spans="1:139" ht="22.5" customHeight="1">
      <c r="A107" s="222"/>
      <c r="B107" s="222"/>
      <c r="D107" s="222"/>
      <c r="E107" s="222"/>
      <c r="F107" s="222"/>
      <c r="G107" s="222"/>
      <c r="H107" s="222"/>
      <c r="I107" s="222"/>
      <c r="J107" s="222"/>
      <c r="K107" s="222"/>
      <c r="L107" s="222"/>
      <c r="M107" s="222"/>
      <c r="N107" s="222"/>
      <c r="O107" s="222"/>
      <c r="P107" s="222"/>
      <c r="Q107" s="222"/>
      <c r="R107" s="222"/>
      <c r="S107" s="222"/>
      <c r="T107" s="222"/>
      <c r="U107" s="222"/>
      <c r="V107" s="222"/>
      <c r="W107" s="222"/>
      <c r="X107" s="222"/>
      <c r="Y107" s="222"/>
      <c r="Z107" s="222"/>
      <c r="AA107" s="222"/>
      <c r="AB107" s="222"/>
      <c r="AC107" s="222"/>
      <c r="AD107" s="222"/>
      <c r="AE107" s="222"/>
      <c r="AF107" s="222"/>
      <c r="AG107" s="222"/>
      <c r="AH107" s="222"/>
      <c r="AI107" s="222"/>
      <c r="AK107" s="222"/>
      <c r="AL107" s="222"/>
      <c r="AM107" s="222"/>
      <c r="AN107" s="222"/>
      <c r="AO107" s="222"/>
      <c r="AP107" s="222"/>
      <c r="AQ107" s="222"/>
      <c r="AR107" s="222"/>
      <c r="AS107" s="222"/>
      <c r="AT107" s="222"/>
      <c r="AU107" s="222"/>
      <c r="AV107" s="222"/>
      <c r="AW107" s="222"/>
      <c r="AX107" s="222"/>
      <c r="AY107" s="222"/>
      <c r="AZ107" s="222"/>
      <c r="BA107" s="222"/>
      <c r="BB107" s="222"/>
      <c r="BC107" s="222"/>
      <c r="CR107" s="234"/>
      <c r="CS107" s="234"/>
      <c r="DQ107" s="222"/>
      <c r="DR107" s="222"/>
      <c r="DS107" s="222"/>
      <c r="DT107" s="222"/>
      <c r="DW107" s="222"/>
      <c r="DX107" s="222"/>
      <c r="EI107" s="237"/>
    </row>
    <row r="108" spans="1:139" ht="22.5" customHeight="1">
      <c r="A108" s="222"/>
      <c r="B108" s="222"/>
      <c r="D108" s="222"/>
      <c r="E108" s="222"/>
      <c r="F108" s="222"/>
      <c r="G108" s="222"/>
      <c r="H108" s="222"/>
      <c r="I108" s="222"/>
      <c r="J108" s="222"/>
      <c r="K108" s="222"/>
      <c r="L108" s="222"/>
      <c r="M108" s="222"/>
      <c r="N108" s="222"/>
      <c r="O108" s="222"/>
      <c r="P108" s="222"/>
      <c r="Q108" s="222"/>
      <c r="R108" s="222"/>
      <c r="S108" s="222"/>
      <c r="T108" s="222"/>
      <c r="U108" s="222"/>
      <c r="V108" s="222"/>
      <c r="W108" s="222"/>
      <c r="X108" s="222"/>
      <c r="Y108" s="222"/>
      <c r="Z108" s="222"/>
      <c r="AA108" s="222"/>
      <c r="AB108" s="222"/>
      <c r="AC108" s="222"/>
      <c r="AD108" s="222"/>
      <c r="AE108" s="222"/>
      <c r="AF108" s="222"/>
      <c r="AG108" s="222"/>
      <c r="AH108" s="222"/>
      <c r="AI108" s="222"/>
      <c r="AM108" s="222"/>
      <c r="AN108" s="222"/>
      <c r="AO108" s="222"/>
      <c r="AP108" s="222"/>
      <c r="AQ108" s="222"/>
      <c r="AR108" s="222"/>
      <c r="AS108" s="222"/>
      <c r="AT108" s="222"/>
      <c r="AU108" s="222"/>
      <c r="AV108" s="222"/>
      <c r="AW108" s="222"/>
      <c r="AX108" s="222"/>
      <c r="AY108" s="222"/>
      <c r="AZ108" s="222"/>
      <c r="BA108" s="222"/>
      <c r="BB108" s="222"/>
      <c r="BC108" s="222"/>
      <c r="CR108" s="234"/>
      <c r="CS108" s="234"/>
      <c r="DQ108" s="222"/>
      <c r="DR108" s="222"/>
      <c r="DS108" s="222"/>
      <c r="DT108" s="222"/>
      <c r="DW108" s="222"/>
      <c r="DX108" s="222"/>
      <c r="EI108" s="237"/>
    </row>
    <row r="109" spans="1:139" ht="22.5" customHeight="1">
      <c r="A109" s="222"/>
      <c r="B109" s="222"/>
      <c r="D109" s="222"/>
      <c r="E109" s="222"/>
      <c r="F109" s="222"/>
      <c r="G109" s="222"/>
      <c r="H109" s="222"/>
      <c r="I109" s="222"/>
      <c r="J109" s="222"/>
      <c r="K109" s="222"/>
      <c r="L109" s="222"/>
      <c r="M109" s="222"/>
      <c r="N109" s="222"/>
      <c r="O109" s="222"/>
      <c r="P109" s="222"/>
      <c r="Q109" s="222"/>
      <c r="R109" s="222"/>
      <c r="S109" s="222"/>
      <c r="T109" s="222"/>
      <c r="U109" s="222"/>
      <c r="V109" s="222"/>
      <c r="W109" s="222"/>
      <c r="X109" s="222"/>
      <c r="Y109" s="222"/>
      <c r="Z109" s="222"/>
      <c r="AA109" s="222"/>
      <c r="AB109" s="222"/>
      <c r="AC109" s="222"/>
      <c r="AD109" s="222"/>
      <c r="AE109" s="222"/>
      <c r="AF109" s="222"/>
      <c r="AG109" s="222"/>
      <c r="AH109" s="222"/>
      <c r="AI109" s="222"/>
      <c r="AK109" s="222"/>
      <c r="AL109" s="222"/>
      <c r="AM109" s="222"/>
      <c r="AN109" s="222"/>
      <c r="AO109" s="222"/>
      <c r="AP109" s="222"/>
      <c r="AQ109" s="222"/>
      <c r="AR109" s="222"/>
      <c r="AS109" s="222"/>
      <c r="AT109" s="222"/>
      <c r="AU109" s="222"/>
      <c r="AV109" s="222"/>
      <c r="AW109" s="222"/>
      <c r="AX109" s="222"/>
      <c r="AY109" s="222"/>
      <c r="AZ109" s="222"/>
      <c r="BA109" s="222"/>
      <c r="BB109" s="222"/>
      <c r="BC109" s="222"/>
      <c r="CR109" s="234"/>
      <c r="CS109" s="234"/>
      <c r="DQ109" s="222"/>
      <c r="DR109" s="222"/>
      <c r="DS109" s="222"/>
      <c r="DT109" s="222"/>
      <c r="DW109" s="222"/>
      <c r="DX109" s="222"/>
      <c r="EI109" s="237"/>
    </row>
    <row r="110" spans="1:139" ht="22.5" customHeight="1">
      <c r="A110" s="222"/>
      <c r="B110" s="222"/>
      <c r="D110" s="222"/>
      <c r="E110" s="222"/>
      <c r="F110" s="222"/>
      <c r="G110" s="222"/>
      <c r="H110" s="222"/>
      <c r="I110" s="222"/>
      <c r="J110" s="222"/>
      <c r="K110" s="222"/>
      <c r="L110" s="222"/>
      <c r="M110" s="222"/>
      <c r="N110" s="222"/>
      <c r="O110" s="222"/>
      <c r="P110" s="222"/>
      <c r="Q110" s="222"/>
      <c r="R110" s="222"/>
      <c r="S110" s="222"/>
      <c r="T110" s="222"/>
      <c r="U110" s="222"/>
      <c r="V110" s="222"/>
      <c r="W110" s="222"/>
      <c r="X110" s="222"/>
      <c r="Y110" s="222"/>
      <c r="Z110" s="222"/>
      <c r="AA110" s="222"/>
      <c r="AB110" s="222"/>
      <c r="AC110" s="222"/>
      <c r="AD110" s="222"/>
      <c r="AE110" s="222"/>
      <c r="AF110" s="222"/>
      <c r="AG110" s="222"/>
      <c r="AH110" s="222"/>
      <c r="AI110" s="222"/>
      <c r="AM110" s="222"/>
      <c r="AN110" s="222"/>
      <c r="AO110" s="222"/>
      <c r="AP110" s="222"/>
      <c r="AQ110" s="222"/>
      <c r="AR110" s="222"/>
      <c r="AS110" s="222"/>
      <c r="AT110" s="222"/>
      <c r="AU110" s="222"/>
      <c r="AV110" s="222"/>
      <c r="AW110" s="222"/>
      <c r="AX110" s="222"/>
      <c r="AY110" s="222"/>
      <c r="AZ110" s="222"/>
      <c r="BA110" s="222"/>
      <c r="BB110" s="222"/>
      <c r="BC110" s="222"/>
      <c r="CR110" s="234"/>
      <c r="CS110" s="234"/>
      <c r="DQ110" s="222"/>
      <c r="DR110" s="222"/>
      <c r="DS110" s="222"/>
      <c r="DT110" s="222"/>
      <c r="DW110" s="222"/>
      <c r="DX110" s="222"/>
      <c r="EI110" s="237"/>
    </row>
    <row r="111" spans="1:139" ht="22.5" customHeight="1">
      <c r="A111" s="222"/>
      <c r="B111" s="222"/>
      <c r="D111" s="222"/>
      <c r="E111" s="222"/>
      <c r="F111" s="222"/>
      <c r="G111" s="222"/>
      <c r="H111" s="222"/>
      <c r="I111" s="222"/>
      <c r="J111" s="222"/>
      <c r="K111" s="222"/>
      <c r="L111" s="222"/>
      <c r="M111" s="222"/>
      <c r="N111" s="222"/>
      <c r="O111" s="222"/>
      <c r="P111" s="222"/>
      <c r="Q111" s="222"/>
      <c r="R111" s="222"/>
      <c r="S111" s="222"/>
      <c r="T111" s="222"/>
      <c r="U111" s="222"/>
      <c r="V111" s="222"/>
      <c r="W111" s="222"/>
      <c r="X111" s="222"/>
      <c r="Y111" s="222"/>
      <c r="Z111" s="222"/>
      <c r="AA111" s="222"/>
      <c r="AB111" s="222"/>
      <c r="AC111" s="222"/>
      <c r="AD111" s="222"/>
      <c r="AE111" s="222"/>
      <c r="AF111" s="222"/>
      <c r="AG111" s="222"/>
      <c r="AH111" s="222"/>
      <c r="AI111" s="222"/>
      <c r="AM111" s="222"/>
      <c r="AN111" s="222"/>
      <c r="AO111" s="222"/>
      <c r="AP111" s="222"/>
      <c r="AQ111" s="222"/>
      <c r="AR111" s="222"/>
      <c r="AS111" s="222"/>
      <c r="AT111" s="222"/>
      <c r="AU111" s="222"/>
      <c r="AV111" s="222"/>
      <c r="AW111" s="222"/>
      <c r="AX111" s="222"/>
      <c r="AY111" s="222"/>
      <c r="AZ111" s="222"/>
      <c r="BA111" s="222"/>
      <c r="BB111" s="222"/>
      <c r="BC111" s="222"/>
      <c r="CR111" s="234"/>
      <c r="CS111" s="234"/>
      <c r="DQ111" s="222"/>
      <c r="DR111" s="222"/>
      <c r="DS111" s="222"/>
      <c r="DT111" s="222"/>
      <c r="DW111" s="222"/>
      <c r="DX111" s="222"/>
      <c r="EI111" s="237"/>
    </row>
    <row r="112" spans="1:139" ht="22.5" customHeight="1">
      <c r="A112" s="222"/>
      <c r="B112" s="222"/>
      <c r="D112" s="222"/>
      <c r="E112" s="222"/>
      <c r="F112" s="222"/>
      <c r="G112" s="222"/>
      <c r="H112" s="222"/>
      <c r="I112" s="222"/>
      <c r="J112" s="222"/>
      <c r="K112" s="222"/>
      <c r="L112" s="222"/>
      <c r="M112" s="222"/>
      <c r="N112" s="222"/>
      <c r="O112" s="222"/>
      <c r="P112" s="222"/>
      <c r="Q112" s="222"/>
      <c r="R112" s="222"/>
      <c r="S112" s="222"/>
      <c r="T112" s="222"/>
      <c r="U112" s="222"/>
      <c r="V112" s="222"/>
      <c r="W112" s="222"/>
      <c r="X112" s="222"/>
      <c r="Y112" s="222"/>
      <c r="Z112" s="222"/>
      <c r="AA112" s="222"/>
      <c r="AB112" s="222"/>
      <c r="AC112" s="222"/>
      <c r="AD112" s="222"/>
      <c r="AE112" s="222"/>
      <c r="AF112" s="222"/>
      <c r="AG112" s="222"/>
      <c r="AH112" s="222"/>
      <c r="AI112" s="222"/>
      <c r="AM112" s="222"/>
      <c r="AN112" s="222"/>
      <c r="AO112" s="222"/>
      <c r="AP112" s="222"/>
      <c r="AQ112" s="222"/>
      <c r="AR112" s="222"/>
      <c r="AS112" s="222"/>
      <c r="AT112" s="222"/>
      <c r="AU112" s="222"/>
      <c r="AV112" s="222"/>
      <c r="AW112" s="222"/>
      <c r="AX112" s="222"/>
      <c r="AY112" s="222"/>
      <c r="AZ112" s="222"/>
      <c r="BA112" s="222"/>
      <c r="BB112" s="222"/>
      <c r="BC112" s="222"/>
      <c r="CR112" s="234"/>
      <c r="CS112" s="234"/>
      <c r="DQ112" s="222"/>
      <c r="DR112" s="222"/>
      <c r="DS112" s="222"/>
      <c r="DT112" s="222"/>
      <c r="DW112" s="222"/>
      <c r="DX112" s="222"/>
      <c r="EI112" s="237"/>
    </row>
    <row r="113" spans="1:139" ht="22.5" customHeight="1">
      <c r="A113" s="222"/>
      <c r="B113" s="222"/>
      <c r="D113" s="222"/>
      <c r="E113" s="222"/>
      <c r="F113" s="222"/>
      <c r="G113" s="222"/>
      <c r="H113" s="222"/>
      <c r="I113" s="222"/>
      <c r="J113" s="222"/>
      <c r="K113" s="222"/>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M113" s="222"/>
      <c r="AN113" s="222"/>
      <c r="AO113" s="222"/>
      <c r="AP113" s="222"/>
      <c r="AQ113" s="222"/>
      <c r="AR113" s="222"/>
      <c r="AS113" s="222"/>
      <c r="AT113" s="222"/>
      <c r="AU113" s="222"/>
      <c r="AV113" s="222"/>
      <c r="AW113" s="222"/>
      <c r="AX113" s="222"/>
      <c r="AY113" s="222"/>
      <c r="AZ113" s="222"/>
      <c r="BA113" s="222"/>
      <c r="BB113" s="222"/>
      <c r="BC113" s="222"/>
      <c r="CR113" s="234"/>
      <c r="CS113" s="234"/>
      <c r="DQ113" s="222"/>
      <c r="DR113" s="222"/>
      <c r="DS113" s="222"/>
      <c r="DT113" s="222"/>
      <c r="DW113" s="222"/>
      <c r="DX113" s="222"/>
      <c r="EI113" s="237"/>
    </row>
    <row r="114" spans="1:139" ht="22.5" customHeight="1">
      <c r="A114" s="222"/>
      <c r="B114" s="222"/>
      <c r="D114" s="222"/>
      <c r="E114" s="222"/>
      <c r="F114" s="222"/>
      <c r="G114" s="222"/>
      <c r="H114" s="222"/>
      <c r="I114" s="222"/>
      <c r="J114" s="222"/>
      <c r="K114" s="222"/>
      <c r="L114" s="222"/>
      <c r="M114" s="222"/>
      <c r="N114" s="222"/>
      <c r="O114" s="222"/>
      <c r="P114" s="222"/>
      <c r="Q114" s="222"/>
      <c r="R114" s="222"/>
      <c r="S114" s="222"/>
      <c r="T114" s="222"/>
      <c r="U114" s="222"/>
      <c r="V114" s="222"/>
      <c r="W114" s="222"/>
      <c r="X114" s="222"/>
      <c r="Y114" s="222"/>
      <c r="Z114" s="222"/>
      <c r="AA114" s="222"/>
      <c r="AB114" s="222"/>
      <c r="AC114" s="222"/>
      <c r="AD114" s="222"/>
      <c r="AE114" s="222"/>
      <c r="AF114" s="222"/>
      <c r="AG114" s="222"/>
      <c r="AH114" s="222"/>
      <c r="AI114" s="222"/>
      <c r="AM114" s="222"/>
      <c r="AN114" s="222"/>
      <c r="AO114" s="222"/>
      <c r="AP114" s="222"/>
      <c r="AQ114" s="222"/>
      <c r="AR114" s="222"/>
      <c r="AS114" s="222"/>
      <c r="AT114" s="222"/>
      <c r="AU114" s="222"/>
      <c r="AV114" s="222"/>
      <c r="AW114" s="222"/>
      <c r="AX114" s="222"/>
      <c r="AY114" s="222"/>
      <c r="AZ114" s="222"/>
      <c r="BA114" s="222"/>
      <c r="BB114" s="222"/>
      <c r="BC114" s="222"/>
      <c r="CR114" s="234"/>
      <c r="CS114" s="234"/>
      <c r="DQ114" s="222"/>
      <c r="DR114" s="222"/>
      <c r="DS114" s="222"/>
      <c r="DT114" s="222"/>
      <c r="DW114" s="222"/>
      <c r="DX114" s="222"/>
      <c r="EI114" s="237"/>
    </row>
    <row r="115" spans="1:139" ht="22.5" customHeight="1">
      <c r="A115" s="222"/>
      <c r="B115" s="222"/>
      <c r="D115" s="222"/>
      <c r="E115" s="222"/>
      <c r="F115" s="222"/>
      <c r="G115" s="222"/>
      <c r="H115" s="222"/>
      <c r="I115" s="222"/>
      <c r="J115" s="222"/>
      <c r="K115" s="222"/>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M115" s="222"/>
      <c r="AN115" s="222"/>
      <c r="AO115" s="222"/>
      <c r="AP115" s="222"/>
      <c r="AQ115" s="222"/>
      <c r="AR115" s="222"/>
      <c r="AS115" s="222"/>
      <c r="AT115" s="222"/>
      <c r="AU115" s="222"/>
      <c r="AV115" s="222"/>
      <c r="AW115" s="222"/>
      <c r="AX115" s="222"/>
      <c r="AY115" s="222"/>
      <c r="AZ115" s="222"/>
      <c r="BA115" s="222"/>
      <c r="BB115" s="222"/>
      <c r="BC115" s="222"/>
      <c r="CR115" s="234"/>
      <c r="CS115" s="234"/>
      <c r="DQ115" s="222"/>
      <c r="DR115" s="222"/>
      <c r="DS115" s="222"/>
      <c r="DT115" s="222"/>
      <c r="DW115" s="222"/>
      <c r="DX115" s="222"/>
      <c r="EI115" s="237"/>
    </row>
    <row r="116" spans="1:128" ht="22.5" customHeight="1">
      <c r="A116" s="222"/>
      <c r="B116" s="222"/>
      <c r="D116" s="222"/>
      <c r="E116" s="222"/>
      <c r="F116" s="222"/>
      <c r="G116" s="222"/>
      <c r="H116" s="222"/>
      <c r="I116" s="222"/>
      <c r="J116" s="222"/>
      <c r="K116" s="222"/>
      <c r="L116" s="222"/>
      <c r="M116" s="222"/>
      <c r="N116" s="222"/>
      <c r="O116" s="222"/>
      <c r="P116" s="222"/>
      <c r="Q116" s="222"/>
      <c r="R116" s="222"/>
      <c r="S116" s="222"/>
      <c r="T116" s="222"/>
      <c r="U116" s="222"/>
      <c r="V116" s="222"/>
      <c r="W116" s="222"/>
      <c r="X116" s="222"/>
      <c r="Y116" s="222"/>
      <c r="Z116" s="222"/>
      <c r="AA116" s="222"/>
      <c r="AB116" s="222"/>
      <c r="AC116" s="222"/>
      <c r="AD116" s="222"/>
      <c r="AE116" s="222"/>
      <c r="AF116" s="222"/>
      <c r="AG116" s="222"/>
      <c r="AH116" s="222"/>
      <c r="AI116" s="222"/>
      <c r="AM116" s="222"/>
      <c r="AN116" s="222"/>
      <c r="AO116" s="222"/>
      <c r="AP116" s="222"/>
      <c r="AQ116" s="222"/>
      <c r="AR116" s="222"/>
      <c r="AS116" s="222"/>
      <c r="AT116" s="222"/>
      <c r="AU116" s="222"/>
      <c r="AV116" s="222"/>
      <c r="AW116" s="222"/>
      <c r="AX116" s="222"/>
      <c r="AY116" s="222"/>
      <c r="AZ116" s="222"/>
      <c r="BA116" s="222"/>
      <c r="BB116" s="222"/>
      <c r="BC116" s="222"/>
      <c r="CR116" s="234"/>
      <c r="CS116" s="234"/>
      <c r="DQ116" s="222"/>
      <c r="DR116" s="222"/>
      <c r="DS116" s="222"/>
      <c r="DT116" s="222"/>
      <c r="DW116" s="222"/>
      <c r="DX116" s="222"/>
    </row>
    <row r="117" spans="1:128" ht="22.5" customHeight="1">
      <c r="A117" s="222"/>
      <c r="B117" s="222"/>
      <c r="D117" s="222"/>
      <c r="E117" s="222"/>
      <c r="F117" s="222"/>
      <c r="G117" s="222"/>
      <c r="H117" s="222"/>
      <c r="I117" s="222"/>
      <c r="J117" s="222"/>
      <c r="K117" s="222"/>
      <c r="L117" s="222"/>
      <c r="M117" s="222"/>
      <c r="N117" s="222"/>
      <c r="O117" s="222"/>
      <c r="P117" s="222"/>
      <c r="Q117" s="222"/>
      <c r="R117" s="222"/>
      <c r="S117" s="222"/>
      <c r="T117" s="222"/>
      <c r="U117" s="222"/>
      <c r="V117" s="222"/>
      <c r="W117" s="222"/>
      <c r="X117" s="222"/>
      <c r="Y117" s="222"/>
      <c r="Z117" s="222"/>
      <c r="AA117" s="222"/>
      <c r="AB117" s="222"/>
      <c r="AC117" s="222"/>
      <c r="AD117" s="222"/>
      <c r="AE117" s="222"/>
      <c r="AF117" s="222"/>
      <c r="AG117" s="222"/>
      <c r="AH117" s="222"/>
      <c r="AI117" s="222"/>
      <c r="AM117" s="222"/>
      <c r="AN117" s="222"/>
      <c r="AO117" s="222"/>
      <c r="AP117" s="222"/>
      <c r="AQ117" s="222"/>
      <c r="AR117" s="222"/>
      <c r="AS117" s="222"/>
      <c r="AT117" s="222"/>
      <c r="AU117" s="222"/>
      <c r="AV117" s="222"/>
      <c r="AW117" s="222"/>
      <c r="AX117" s="222"/>
      <c r="AY117" s="222"/>
      <c r="AZ117" s="222"/>
      <c r="BA117" s="222"/>
      <c r="BB117" s="222"/>
      <c r="BC117" s="222"/>
      <c r="CR117" s="234"/>
      <c r="CS117" s="234"/>
      <c r="DQ117" s="222"/>
      <c r="DR117" s="222"/>
      <c r="DS117" s="222"/>
      <c r="DT117" s="222"/>
      <c r="DW117" s="222"/>
      <c r="DX117" s="222"/>
    </row>
    <row r="118" spans="1:128" ht="22.5" customHeight="1">
      <c r="A118" s="222"/>
      <c r="B118" s="222"/>
      <c r="D118" s="222"/>
      <c r="E118" s="222"/>
      <c r="F118" s="222"/>
      <c r="G118" s="222"/>
      <c r="H118" s="222"/>
      <c r="I118" s="222"/>
      <c r="J118" s="222"/>
      <c r="K118" s="222"/>
      <c r="L118" s="222"/>
      <c r="M118" s="222"/>
      <c r="N118" s="222"/>
      <c r="O118" s="222"/>
      <c r="P118" s="222"/>
      <c r="Q118" s="222"/>
      <c r="R118" s="222"/>
      <c r="S118" s="222"/>
      <c r="T118" s="222"/>
      <c r="U118" s="222"/>
      <c r="V118" s="222"/>
      <c r="W118" s="222"/>
      <c r="X118" s="222"/>
      <c r="Y118" s="222"/>
      <c r="Z118" s="222"/>
      <c r="AA118" s="222"/>
      <c r="AB118" s="222"/>
      <c r="AC118" s="222"/>
      <c r="AD118" s="222"/>
      <c r="AE118" s="222"/>
      <c r="AF118" s="222"/>
      <c r="AG118" s="222"/>
      <c r="AH118" s="222"/>
      <c r="AI118" s="222"/>
      <c r="AM118" s="222"/>
      <c r="AN118" s="222"/>
      <c r="AO118" s="222"/>
      <c r="AP118" s="222"/>
      <c r="AQ118" s="222"/>
      <c r="AR118" s="222"/>
      <c r="AS118" s="222"/>
      <c r="AT118" s="222"/>
      <c r="AU118" s="222"/>
      <c r="AV118" s="222"/>
      <c r="AW118" s="222"/>
      <c r="AX118" s="222"/>
      <c r="AY118" s="222"/>
      <c r="AZ118" s="222"/>
      <c r="BA118" s="222"/>
      <c r="BB118" s="222"/>
      <c r="BC118" s="222"/>
      <c r="CR118" s="234"/>
      <c r="CS118" s="234"/>
      <c r="DQ118" s="222"/>
      <c r="DR118" s="222"/>
      <c r="DS118" s="222"/>
      <c r="DT118" s="222"/>
      <c r="DW118" s="222"/>
      <c r="DX118" s="222"/>
    </row>
    <row r="119" spans="1:128" ht="22.5" customHeight="1">
      <c r="A119" s="222"/>
      <c r="B119" s="222"/>
      <c r="D119" s="222"/>
      <c r="E119" s="222"/>
      <c r="F119" s="222"/>
      <c r="G119" s="222"/>
      <c r="H119" s="222"/>
      <c r="I119" s="222"/>
      <c r="J119" s="222"/>
      <c r="K119" s="222"/>
      <c r="L119" s="222"/>
      <c r="M119" s="222"/>
      <c r="N119" s="222"/>
      <c r="O119" s="222"/>
      <c r="P119" s="222"/>
      <c r="Q119" s="222"/>
      <c r="R119" s="222"/>
      <c r="S119" s="222"/>
      <c r="T119" s="222"/>
      <c r="U119" s="222"/>
      <c r="V119" s="222"/>
      <c r="W119" s="222"/>
      <c r="X119" s="222"/>
      <c r="Y119" s="222"/>
      <c r="Z119" s="222"/>
      <c r="AA119" s="222"/>
      <c r="AB119" s="222"/>
      <c r="AC119" s="222"/>
      <c r="AD119" s="222"/>
      <c r="AE119" s="222"/>
      <c r="AF119" s="222"/>
      <c r="AG119" s="222"/>
      <c r="AH119" s="222"/>
      <c r="AI119" s="222"/>
      <c r="AM119" s="222"/>
      <c r="AN119" s="222"/>
      <c r="AO119" s="222"/>
      <c r="AP119" s="222"/>
      <c r="AQ119" s="222"/>
      <c r="AR119" s="222"/>
      <c r="AS119" s="222"/>
      <c r="AT119" s="222"/>
      <c r="AU119" s="222"/>
      <c r="AV119" s="222"/>
      <c r="AW119" s="222"/>
      <c r="AX119" s="222"/>
      <c r="AY119" s="222"/>
      <c r="AZ119" s="222"/>
      <c r="BA119" s="222"/>
      <c r="BB119" s="222"/>
      <c r="BC119" s="222"/>
      <c r="CR119" s="234"/>
      <c r="CS119" s="234"/>
      <c r="DQ119" s="222"/>
      <c r="DR119" s="222"/>
      <c r="DS119" s="222"/>
      <c r="DT119" s="222"/>
      <c r="DW119" s="222"/>
      <c r="DX119" s="222"/>
    </row>
    <row r="120" spans="1:128" ht="22.5" customHeight="1">
      <c r="A120" s="222"/>
      <c r="B120" s="222"/>
      <c r="D120" s="222"/>
      <c r="E120" s="222"/>
      <c r="F120" s="222"/>
      <c r="G120" s="222"/>
      <c r="H120" s="222"/>
      <c r="I120" s="222"/>
      <c r="J120" s="222"/>
      <c r="K120" s="222"/>
      <c r="L120" s="222"/>
      <c r="M120" s="222"/>
      <c r="N120" s="222"/>
      <c r="O120" s="222"/>
      <c r="P120" s="222"/>
      <c r="Q120" s="222"/>
      <c r="R120" s="222"/>
      <c r="S120" s="222"/>
      <c r="T120" s="222"/>
      <c r="U120" s="222"/>
      <c r="V120" s="222"/>
      <c r="W120" s="222"/>
      <c r="X120" s="222"/>
      <c r="Y120" s="222"/>
      <c r="Z120" s="222"/>
      <c r="AA120" s="222"/>
      <c r="AB120" s="222"/>
      <c r="AC120" s="222"/>
      <c r="AD120" s="222"/>
      <c r="AE120" s="222"/>
      <c r="AF120" s="222"/>
      <c r="AG120" s="222"/>
      <c r="AH120" s="222"/>
      <c r="AI120" s="222"/>
      <c r="AM120" s="222"/>
      <c r="AN120" s="222"/>
      <c r="AO120" s="222"/>
      <c r="AP120" s="222"/>
      <c r="AQ120" s="222"/>
      <c r="AR120" s="222"/>
      <c r="AS120" s="222"/>
      <c r="AT120" s="222"/>
      <c r="AU120" s="222"/>
      <c r="AV120" s="222"/>
      <c r="AW120" s="222"/>
      <c r="AX120" s="222"/>
      <c r="AY120" s="222"/>
      <c r="AZ120" s="222"/>
      <c r="BA120" s="222"/>
      <c r="BB120" s="222"/>
      <c r="BC120" s="222"/>
      <c r="CR120" s="234"/>
      <c r="CS120" s="234"/>
      <c r="DQ120" s="222"/>
      <c r="DR120" s="222"/>
      <c r="DS120" s="222"/>
      <c r="DT120" s="222"/>
      <c r="DW120" s="222"/>
      <c r="DX120" s="222"/>
    </row>
    <row r="121" spans="1:128" ht="22.5" customHeight="1">
      <c r="A121" s="222"/>
      <c r="B121" s="222"/>
      <c r="D121" s="222"/>
      <c r="E121" s="222"/>
      <c r="F121" s="222"/>
      <c r="G121" s="222"/>
      <c r="H121" s="222"/>
      <c r="I121" s="222"/>
      <c r="J121" s="222"/>
      <c r="K121" s="222"/>
      <c r="L121" s="222"/>
      <c r="M121" s="222"/>
      <c r="N121" s="222"/>
      <c r="O121" s="222"/>
      <c r="P121" s="222"/>
      <c r="Q121" s="222"/>
      <c r="R121" s="222"/>
      <c r="S121" s="222"/>
      <c r="T121" s="222"/>
      <c r="U121" s="222"/>
      <c r="V121" s="222"/>
      <c r="W121" s="222"/>
      <c r="X121" s="222"/>
      <c r="Y121" s="222"/>
      <c r="Z121" s="222"/>
      <c r="AA121" s="222"/>
      <c r="AB121" s="222"/>
      <c r="AC121" s="222"/>
      <c r="AD121" s="222"/>
      <c r="AE121" s="222"/>
      <c r="AF121" s="222"/>
      <c r="AG121" s="222"/>
      <c r="AH121" s="222"/>
      <c r="AI121" s="222"/>
      <c r="AM121" s="222"/>
      <c r="AN121" s="222"/>
      <c r="AO121" s="222"/>
      <c r="AP121" s="222"/>
      <c r="AQ121" s="222"/>
      <c r="AR121" s="222"/>
      <c r="AS121" s="222"/>
      <c r="AT121" s="222"/>
      <c r="AU121" s="222"/>
      <c r="AV121" s="222"/>
      <c r="AW121" s="222"/>
      <c r="AX121" s="222"/>
      <c r="AY121" s="222"/>
      <c r="AZ121" s="222"/>
      <c r="BA121" s="222"/>
      <c r="BB121" s="222"/>
      <c r="BC121" s="222"/>
      <c r="CR121" s="234"/>
      <c r="CS121" s="234"/>
      <c r="DQ121" s="222"/>
      <c r="DR121" s="222"/>
      <c r="DS121" s="222"/>
      <c r="DT121" s="222"/>
      <c r="DW121" s="222"/>
      <c r="DX121" s="222"/>
    </row>
    <row r="122" spans="1:128" ht="22.5" customHeight="1">
      <c r="A122" s="222"/>
      <c r="B122" s="222"/>
      <c r="D122" s="222"/>
      <c r="E122" s="222"/>
      <c r="F122" s="222"/>
      <c r="G122" s="222"/>
      <c r="H122" s="222"/>
      <c r="I122" s="222"/>
      <c r="J122" s="222"/>
      <c r="K122" s="222"/>
      <c r="L122" s="222"/>
      <c r="M122" s="222"/>
      <c r="N122" s="222"/>
      <c r="O122" s="222"/>
      <c r="P122" s="222"/>
      <c r="Q122" s="222"/>
      <c r="R122" s="222"/>
      <c r="S122" s="222"/>
      <c r="T122" s="222"/>
      <c r="U122" s="222"/>
      <c r="V122" s="222"/>
      <c r="W122" s="222"/>
      <c r="X122" s="222"/>
      <c r="Y122" s="222"/>
      <c r="Z122" s="222"/>
      <c r="AA122" s="222"/>
      <c r="AB122" s="222"/>
      <c r="AC122" s="222"/>
      <c r="AD122" s="222"/>
      <c r="AE122" s="222"/>
      <c r="AF122" s="222"/>
      <c r="AG122" s="222"/>
      <c r="AH122" s="222"/>
      <c r="AI122" s="222"/>
      <c r="AM122" s="222"/>
      <c r="AN122" s="222"/>
      <c r="AO122" s="222"/>
      <c r="AP122" s="222"/>
      <c r="AQ122" s="222"/>
      <c r="AR122" s="222"/>
      <c r="AS122" s="222"/>
      <c r="AT122" s="222"/>
      <c r="AU122" s="222"/>
      <c r="AV122" s="222"/>
      <c r="AW122" s="222"/>
      <c r="AX122" s="222"/>
      <c r="AY122" s="222"/>
      <c r="AZ122" s="222"/>
      <c r="BA122" s="222"/>
      <c r="BB122" s="222"/>
      <c r="BC122" s="222"/>
      <c r="CR122" s="234"/>
      <c r="CS122" s="234"/>
      <c r="DQ122" s="222"/>
      <c r="DR122" s="222"/>
      <c r="DS122" s="222"/>
      <c r="DT122" s="222"/>
      <c r="DW122" s="222"/>
      <c r="DX122" s="222"/>
    </row>
    <row r="123" spans="1:128" ht="22.5" customHeight="1">
      <c r="A123" s="222"/>
      <c r="B123" s="222"/>
      <c r="D123" s="222"/>
      <c r="E123" s="222"/>
      <c r="F123" s="222"/>
      <c r="G123" s="222"/>
      <c r="H123" s="222"/>
      <c r="I123" s="222"/>
      <c r="J123" s="222"/>
      <c r="K123" s="222"/>
      <c r="L123" s="222"/>
      <c r="M123" s="222"/>
      <c r="N123" s="222"/>
      <c r="O123" s="222"/>
      <c r="P123" s="222"/>
      <c r="Q123" s="222"/>
      <c r="R123" s="222"/>
      <c r="S123" s="222"/>
      <c r="T123" s="222"/>
      <c r="U123" s="222"/>
      <c r="V123" s="222"/>
      <c r="W123" s="222"/>
      <c r="X123" s="222"/>
      <c r="Y123" s="222"/>
      <c r="Z123" s="222"/>
      <c r="AA123" s="222"/>
      <c r="AB123" s="222"/>
      <c r="AC123" s="222"/>
      <c r="AD123" s="222"/>
      <c r="AE123" s="222"/>
      <c r="AF123" s="222"/>
      <c r="AG123" s="222"/>
      <c r="AH123" s="222"/>
      <c r="AI123" s="222"/>
      <c r="AM123" s="222"/>
      <c r="AN123" s="222"/>
      <c r="AO123" s="222"/>
      <c r="AP123" s="222"/>
      <c r="AQ123" s="222"/>
      <c r="AR123" s="222"/>
      <c r="AS123" s="222"/>
      <c r="AT123" s="222"/>
      <c r="AU123" s="222"/>
      <c r="AV123" s="222"/>
      <c r="AW123" s="222"/>
      <c r="AX123" s="222"/>
      <c r="AY123" s="222"/>
      <c r="AZ123" s="222"/>
      <c r="BA123" s="222"/>
      <c r="BB123" s="222"/>
      <c r="BC123" s="222"/>
      <c r="CR123" s="234"/>
      <c r="CS123" s="234"/>
      <c r="DQ123" s="222"/>
      <c r="DR123" s="222"/>
      <c r="DS123" s="222"/>
      <c r="DT123" s="222"/>
      <c r="DW123" s="222"/>
      <c r="DX123" s="222"/>
    </row>
    <row r="124" spans="1:128" ht="22.5" customHeight="1">
      <c r="A124" s="222"/>
      <c r="B124" s="222"/>
      <c r="D124" s="222"/>
      <c r="E124" s="222"/>
      <c r="F124" s="222"/>
      <c r="G124" s="222"/>
      <c r="H124" s="222"/>
      <c r="I124" s="222"/>
      <c r="J124" s="222"/>
      <c r="K124" s="222"/>
      <c r="L124" s="222"/>
      <c r="M124" s="222"/>
      <c r="N124" s="222"/>
      <c r="O124" s="222"/>
      <c r="P124" s="222"/>
      <c r="Q124" s="222"/>
      <c r="R124" s="222"/>
      <c r="S124" s="222"/>
      <c r="T124" s="222"/>
      <c r="U124" s="222"/>
      <c r="V124" s="222"/>
      <c r="W124" s="222"/>
      <c r="X124" s="222"/>
      <c r="Y124" s="222"/>
      <c r="Z124" s="222"/>
      <c r="AA124" s="222"/>
      <c r="AB124" s="222"/>
      <c r="AC124" s="222"/>
      <c r="AD124" s="222"/>
      <c r="AE124" s="222"/>
      <c r="AF124" s="222"/>
      <c r="AG124" s="222"/>
      <c r="AH124" s="222"/>
      <c r="AI124" s="222"/>
      <c r="AM124" s="222"/>
      <c r="AN124" s="222"/>
      <c r="AO124" s="222"/>
      <c r="AP124" s="222"/>
      <c r="AQ124" s="222"/>
      <c r="AR124" s="222"/>
      <c r="AS124" s="222"/>
      <c r="AT124" s="222"/>
      <c r="AU124" s="222"/>
      <c r="AV124" s="222"/>
      <c r="AW124" s="222"/>
      <c r="AX124" s="222"/>
      <c r="AY124" s="222"/>
      <c r="AZ124" s="222"/>
      <c r="BA124" s="222"/>
      <c r="BB124" s="222"/>
      <c r="BC124" s="222"/>
      <c r="CR124" s="234"/>
      <c r="CS124" s="234"/>
      <c r="DQ124" s="222"/>
      <c r="DR124" s="222"/>
      <c r="DS124" s="222"/>
      <c r="DT124" s="222"/>
      <c r="DW124" s="222"/>
      <c r="DX124" s="222"/>
    </row>
    <row r="125" spans="1:128" ht="22.5" customHeight="1">
      <c r="A125" s="222"/>
      <c r="B125" s="222"/>
      <c r="D125" s="222"/>
      <c r="E125" s="222"/>
      <c r="F125" s="222"/>
      <c r="G125" s="222"/>
      <c r="H125" s="222"/>
      <c r="I125" s="222"/>
      <c r="J125" s="222"/>
      <c r="K125" s="222"/>
      <c r="L125" s="222"/>
      <c r="M125" s="222"/>
      <c r="N125" s="222"/>
      <c r="O125" s="222"/>
      <c r="P125" s="222"/>
      <c r="Q125" s="222"/>
      <c r="R125" s="222"/>
      <c r="S125" s="222"/>
      <c r="T125" s="222"/>
      <c r="U125" s="222"/>
      <c r="V125" s="222"/>
      <c r="W125" s="222"/>
      <c r="X125" s="222"/>
      <c r="Y125" s="222"/>
      <c r="Z125" s="222"/>
      <c r="AA125" s="222"/>
      <c r="AB125" s="222"/>
      <c r="AC125" s="222"/>
      <c r="AD125" s="222"/>
      <c r="AE125" s="222"/>
      <c r="AF125" s="222"/>
      <c r="AG125" s="222"/>
      <c r="AH125" s="222"/>
      <c r="AI125" s="222"/>
      <c r="AM125" s="222"/>
      <c r="AN125" s="222"/>
      <c r="AO125" s="222"/>
      <c r="AP125" s="222"/>
      <c r="AQ125" s="222"/>
      <c r="AR125" s="222"/>
      <c r="AS125" s="222"/>
      <c r="AT125" s="222"/>
      <c r="AU125" s="222"/>
      <c r="AV125" s="222"/>
      <c r="AW125" s="222"/>
      <c r="AX125" s="222"/>
      <c r="AY125" s="222"/>
      <c r="AZ125" s="222"/>
      <c r="BA125" s="222"/>
      <c r="BB125" s="222"/>
      <c r="BC125" s="222"/>
      <c r="CR125" s="234"/>
      <c r="CS125" s="234"/>
      <c r="DQ125" s="222"/>
      <c r="DR125" s="222"/>
      <c r="DS125" s="222"/>
      <c r="DT125" s="222"/>
      <c r="DW125" s="222"/>
      <c r="DX125" s="222"/>
    </row>
    <row r="126" spans="1:128" ht="22.5" customHeight="1">
      <c r="A126" s="222"/>
      <c r="B126" s="222"/>
      <c r="D126" s="222"/>
      <c r="E126" s="222"/>
      <c r="F126" s="222"/>
      <c r="G126" s="222"/>
      <c r="H126" s="222"/>
      <c r="I126" s="222"/>
      <c r="J126" s="222"/>
      <c r="K126" s="222"/>
      <c r="L126" s="222"/>
      <c r="M126" s="222"/>
      <c r="N126" s="222"/>
      <c r="O126" s="222"/>
      <c r="P126" s="222"/>
      <c r="Q126" s="222"/>
      <c r="R126" s="222"/>
      <c r="S126" s="222"/>
      <c r="T126" s="222"/>
      <c r="U126" s="222"/>
      <c r="V126" s="222"/>
      <c r="W126" s="222"/>
      <c r="X126" s="222"/>
      <c r="Y126" s="222"/>
      <c r="Z126" s="222"/>
      <c r="AA126" s="222"/>
      <c r="AB126" s="222"/>
      <c r="AC126" s="222"/>
      <c r="AD126" s="222"/>
      <c r="AE126" s="222"/>
      <c r="AF126" s="222"/>
      <c r="AG126" s="222"/>
      <c r="AH126" s="222"/>
      <c r="AI126" s="222"/>
      <c r="AM126" s="222"/>
      <c r="AN126" s="222"/>
      <c r="AO126" s="222"/>
      <c r="AP126" s="222"/>
      <c r="AQ126" s="222"/>
      <c r="AR126" s="222"/>
      <c r="AS126" s="222"/>
      <c r="AT126" s="222"/>
      <c r="AU126" s="222"/>
      <c r="AV126" s="222"/>
      <c r="AW126" s="222"/>
      <c r="AX126" s="222"/>
      <c r="AY126" s="222"/>
      <c r="AZ126" s="222"/>
      <c r="BA126" s="222"/>
      <c r="BB126" s="222"/>
      <c r="BC126" s="222"/>
      <c r="CR126" s="234"/>
      <c r="CS126" s="234"/>
      <c r="DQ126" s="222"/>
      <c r="DR126" s="222"/>
      <c r="DS126" s="222"/>
      <c r="DT126" s="222"/>
      <c r="DW126" s="222"/>
      <c r="DX126" s="222"/>
    </row>
    <row r="127" spans="1:128" ht="22.5" customHeight="1">
      <c r="A127" s="222"/>
      <c r="B127" s="222"/>
      <c r="D127" s="222"/>
      <c r="E127" s="222"/>
      <c r="F127" s="222"/>
      <c r="G127" s="222"/>
      <c r="H127" s="222"/>
      <c r="I127" s="222"/>
      <c r="J127" s="222"/>
      <c r="K127" s="222"/>
      <c r="L127" s="222"/>
      <c r="M127" s="222"/>
      <c r="N127" s="222"/>
      <c r="O127" s="222"/>
      <c r="P127" s="222"/>
      <c r="Q127" s="222"/>
      <c r="R127" s="222"/>
      <c r="S127" s="222"/>
      <c r="T127" s="222"/>
      <c r="U127" s="222"/>
      <c r="V127" s="222"/>
      <c r="W127" s="222"/>
      <c r="X127" s="222"/>
      <c r="Y127" s="222"/>
      <c r="Z127" s="222"/>
      <c r="AA127" s="222"/>
      <c r="AB127" s="222"/>
      <c r="AC127" s="222"/>
      <c r="AD127" s="222"/>
      <c r="AE127" s="222"/>
      <c r="AF127" s="222"/>
      <c r="AG127" s="222"/>
      <c r="AH127" s="222"/>
      <c r="AI127" s="222"/>
      <c r="AM127" s="222"/>
      <c r="AN127" s="222"/>
      <c r="AO127" s="222"/>
      <c r="AP127" s="222"/>
      <c r="AQ127" s="222"/>
      <c r="AR127" s="222"/>
      <c r="AS127" s="222"/>
      <c r="AT127" s="222"/>
      <c r="AU127" s="222"/>
      <c r="AV127" s="222"/>
      <c r="AW127" s="222"/>
      <c r="AX127" s="222"/>
      <c r="AY127" s="222"/>
      <c r="AZ127" s="222"/>
      <c r="BA127" s="222"/>
      <c r="BB127" s="222"/>
      <c r="BC127" s="222"/>
      <c r="CR127" s="234"/>
      <c r="CS127" s="234"/>
      <c r="DQ127" s="222"/>
      <c r="DR127" s="222"/>
      <c r="DS127" s="222"/>
      <c r="DT127" s="222"/>
      <c r="DW127" s="222"/>
      <c r="DX127" s="222"/>
    </row>
    <row r="128" spans="1:128" ht="22.5" customHeight="1">
      <c r="A128" s="222"/>
      <c r="B128" s="222"/>
      <c r="D128" s="222"/>
      <c r="E128" s="222"/>
      <c r="F128" s="222"/>
      <c r="G128" s="222"/>
      <c r="H128" s="222"/>
      <c r="I128" s="222"/>
      <c r="J128" s="222"/>
      <c r="K128" s="222"/>
      <c r="L128" s="222"/>
      <c r="M128" s="222"/>
      <c r="N128" s="222"/>
      <c r="O128" s="222"/>
      <c r="P128" s="222"/>
      <c r="Q128" s="222"/>
      <c r="R128" s="222"/>
      <c r="S128" s="222"/>
      <c r="T128" s="222"/>
      <c r="U128" s="222"/>
      <c r="V128" s="222"/>
      <c r="W128" s="222"/>
      <c r="X128" s="222"/>
      <c r="Y128" s="222"/>
      <c r="Z128" s="222"/>
      <c r="AA128" s="222"/>
      <c r="AB128" s="222"/>
      <c r="AC128" s="222"/>
      <c r="AD128" s="222"/>
      <c r="AE128" s="222"/>
      <c r="AF128" s="222"/>
      <c r="AG128" s="222"/>
      <c r="AH128" s="222"/>
      <c r="AI128" s="222"/>
      <c r="AM128" s="222"/>
      <c r="AN128" s="222"/>
      <c r="AO128" s="222"/>
      <c r="AP128" s="222"/>
      <c r="AQ128" s="222"/>
      <c r="AR128" s="222"/>
      <c r="AS128" s="222"/>
      <c r="AT128" s="222"/>
      <c r="AU128" s="222"/>
      <c r="AV128" s="222"/>
      <c r="AW128" s="222"/>
      <c r="AX128" s="222"/>
      <c r="AY128" s="222"/>
      <c r="AZ128" s="222"/>
      <c r="BA128" s="222"/>
      <c r="BB128" s="222"/>
      <c r="BC128" s="222"/>
      <c r="CR128" s="234"/>
      <c r="CS128" s="234"/>
      <c r="DQ128" s="222"/>
      <c r="DR128" s="222"/>
      <c r="DS128" s="222"/>
      <c r="DT128" s="222"/>
      <c r="DW128" s="222"/>
      <c r="DX128" s="222"/>
    </row>
    <row r="129" spans="1:128" ht="22.5" customHeight="1">
      <c r="A129" s="222"/>
      <c r="B129" s="222"/>
      <c r="D129" s="222"/>
      <c r="E129" s="222"/>
      <c r="F129" s="222"/>
      <c r="G129" s="222"/>
      <c r="H129" s="222"/>
      <c r="I129" s="222"/>
      <c r="J129" s="222"/>
      <c r="K129" s="222"/>
      <c r="L129" s="222"/>
      <c r="M129" s="222"/>
      <c r="N129" s="222"/>
      <c r="O129" s="222"/>
      <c r="P129" s="222"/>
      <c r="Q129" s="222"/>
      <c r="R129" s="222"/>
      <c r="S129" s="222"/>
      <c r="T129" s="222"/>
      <c r="U129" s="222"/>
      <c r="V129" s="222"/>
      <c r="W129" s="222"/>
      <c r="X129" s="222"/>
      <c r="Y129" s="222"/>
      <c r="Z129" s="222"/>
      <c r="AA129" s="222"/>
      <c r="AB129" s="222"/>
      <c r="AC129" s="222"/>
      <c r="AD129" s="222"/>
      <c r="AE129" s="222"/>
      <c r="AF129" s="222"/>
      <c r="AG129" s="222"/>
      <c r="AH129" s="222"/>
      <c r="AI129" s="222"/>
      <c r="AM129" s="222"/>
      <c r="AN129" s="222"/>
      <c r="AO129" s="222"/>
      <c r="AP129" s="222"/>
      <c r="AQ129" s="222"/>
      <c r="AR129" s="222"/>
      <c r="AS129" s="222"/>
      <c r="AT129" s="222"/>
      <c r="AU129" s="222"/>
      <c r="AV129" s="222"/>
      <c r="AW129" s="222"/>
      <c r="AX129" s="222"/>
      <c r="AY129" s="222"/>
      <c r="AZ129" s="222"/>
      <c r="BA129" s="222"/>
      <c r="BB129" s="222"/>
      <c r="BC129" s="222"/>
      <c r="CR129" s="234"/>
      <c r="CS129" s="234"/>
      <c r="DQ129" s="222"/>
      <c r="DR129" s="222"/>
      <c r="DS129" s="222"/>
      <c r="DT129" s="222"/>
      <c r="DW129" s="222"/>
      <c r="DX129" s="222"/>
    </row>
    <row r="130" spans="1:128" ht="22.5" customHeight="1">
      <c r="A130" s="222"/>
      <c r="B130" s="222"/>
      <c r="D130" s="222"/>
      <c r="E130" s="222"/>
      <c r="F130" s="222"/>
      <c r="G130" s="222"/>
      <c r="H130" s="222"/>
      <c r="I130" s="222"/>
      <c r="J130" s="222"/>
      <c r="K130" s="222"/>
      <c r="L130" s="222"/>
      <c r="M130" s="222"/>
      <c r="N130" s="222"/>
      <c r="O130" s="222"/>
      <c r="P130" s="222"/>
      <c r="Q130" s="222"/>
      <c r="R130" s="222"/>
      <c r="S130" s="222"/>
      <c r="T130" s="222"/>
      <c r="U130" s="222"/>
      <c r="V130" s="222"/>
      <c r="W130" s="222"/>
      <c r="X130" s="222"/>
      <c r="Y130" s="222"/>
      <c r="Z130" s="222"/>
      <c r="AA130" s="222"/>
      <c r="AB130" s="222"/>
      <c r="AC130" s="222"/>
      <c r="AD130" s="222"/>
      <c r="AE130" s="222"/>
      <c r="AF130" s="222"/>
      <c r="AG130" s="222"/>
      <c r="AH130" s="222"/>
      <c r="AI130" s="222"/>
      <c r="AM130" s="222"/>
      <c r="AN130" s="222"/>
      <c r="AO130" s="222"/>
      <c r="AP130" s="222"/>
      <c r="AQ130" s="222"/>
      <c r="AR130" s="222"/>
      <c r="AS130" s="222"/>
      <c r="AT130" s="222"/>
      <c r="AU130" s="222"/>
      <c r="AV130" s="222"/>
      <c r="AW130" s="222"/>
      <c r="AX130" s="222"/>
      <c r="AY130" s="222"/>
      <c r="AZ130" s="222"/>
      <c r="BA130" s="222"/>
      <c r="BB130" s="222"/>
      <c r="BC130" s="222"/>
      <c r="CR130" s="234"/>
      <c r="CS130" s="234"/>
      <c r="DQ130" s="222"/>
      <c r="DR130" s="222"/>
      <c r="DS130" s="222"/>
      <c r="DT130" s="222"/>
      <c r="DW130" s="222"/>
      <c r="DX130" s="222"/>
    </row>
    <row r="131" spans="1:128" ht="22.5" customHeight="1">
      <c r="A131" s="222"/>
      <c r="B131" s="222"/>
      <c r="D131" s="222"/>
      <c r="E131" s="222"/>
      <c r="F131" s="222"/>
      <c r="G131" s="222"/>
      <c r="H131" s="222"/>
      <c r="I131" s="222"/>
      <c r="J131" s="222"/>
      <c r="K131" s="222"/>
      <c r="L131" s="222"/>
      <c r="M131" s="222"/>
      <c r="N131" s="222"/>
      <c r="O131" s="222"/>
      <c r="P131" s="222"/>
      <c r="Q131" s="222"/>
      <c r="R131" s="222"/>
      <c r="S131" s="222"/>
      <c r="T131" s="222"/>
      <c r="U131" s="222"/>
      <c r="V131" s="222"/>
      <c r="W131" s="222"/>
      <c r="X131" s="222"/>
      <c r="Y131" s="222"/>
      <c r="Z131" s="222"/>
      <c r="AA131" s="222"/>
      <c r="AB131" s="222"/>
      <c r="AC131" s="222"/>
      <c r="AD131" s="222"/>
      <c r="AE131" s="222"/>
      <c r="AF131" s="222"/>
      <c r="AG131" s="222"/>
      <c r="AH131" s="222"/>
      <c r="AI131" s="222"/>
      <c r="AM131" s="222"/>
      <c r="AN131" s="222"/>
      <c r="AO131" s="222"/>
      <c r="AP131" s="222"/>
      <c r="AQ131" s="222"/>
      <c r="AR131" s="222"/>
      <c r="AS131" s="222"/>
      <c r="AT131" s="222"/>
      <c r="AU131" s="222"/>
      <c r="AV131" s="222"/>
      <c r="AW131" s="222"/>
      <c r="AX131" s="222"/>
      <c r="AY131" s="222"/>
      <c r="AZ131" s="222"/>
      <c r="BA131" s="222"/>
      <c r="BB131" s="222"/>
      <c r="BC131" s="222"/>
      <c r="CR131" s="234"/>
      <c r="CS131" s="234"/>
      <c r="DX131" s="222"/>
    </row>
    <row r="132" spans="1:128" ht="22.5" customHeight="1">
      <c r="A132" s="222"/>
      <c r="B132" s="222"/>
      <c r="D132" s="222"/>
      <c r="E132" s="222"/>
      <c r="F132" s="222"/>
      <c r="G132" s="222"/>
      <c r="H132" s="222"/>
      <c r="I132" s="222"/>
      <c r="J132" s="222"/>
      <c r="K132" s="222"/>
      <c r="L132" s="222"/>
      <c r="M132" s="222"/>
      <c r="N132" s="222"/>
      <c r="O132" s="222"/>
      <c r="P132" s="222"/>
      <c r="Q132" s="222"/>
      <c r="R132" s="222"/>
      <c r="S132" s="222"/>
      <c r="T132" s="222"/>
      <c r="U132" s="222"/>
      <c r="V132" s="222"/>
      <c r="W132" s="222"/>
      <c r="X132" s="222"/>
      <c r="Y132" s="222"/>
      <c r="Z132" s="222"/>
      <c r="AA132" s="222"/>
      <c r="AB132" s="222"/>
      <c r="AC132" s="222"/>
      <c r="AD132" s="222"/>
      <c r="AE132" s="222"/>
      <c r="AF132" s="222"/>
      <c r="AG132" s="222"/>
      <c r="AH132" s="222"/>
      <c r="AI132" s="222"/>
      <c r="AM132" s="222"/>
      <c r="AN132" s="222"/>
      <c r="AO132" s="222"/>
      <c r="AP132" s="222"/>
      <c r="AQ132" s="222"/>
      <c r="AR132" s="222"/>
      <c r="AS132" s="222"/>
      <c r="AT132" s="222"/>
      <c r="AU132" s="222"/>
      <c r="AV132" s="222"/>
      <c r="AW132" s="222"/>
      <c r="AX132" s="222"/>
      <c r="AY132" s="222"/>
      <c r="AZ132" s="222"/>
      <c r="BA132" s="222"/>
      <c r="BB132" s="222"/>
      <c r="BC132" s="222"/>
      <c r="CR132" s="234"/>
      <c r="CS132" s="234"/>
      <c r="DX132" s="222"/>
    </row>
    <row r="133" spans="1:128" ht="22.5" customHeight="1">
      <c r="A133" s="222"/>
      <c r="B133" s="222"/>
      <c r="D133" s="222"/>
      <c r="E133" s="222"/>
      <c r="F133" s="222"/>
      <c r="G133" s="222"/>
      <c r="H133" s="222"/>
      <c r="I133" s="222"/>
      <c r="J133" s="222"/>
      <c r="K133" s="222"/>
      <c r="L133" s="222"/>
      <c r="M133" s="222"/>
      <c r="N133" s="222"/>
      <c r="O133" s="222"/>
      <c r="P133" s="222"/>
      <c r="Q133" s="222"/>
      <c r="R133" s="222"/>
      <c r="S133" s="222"/>
      <c r="T133" s="222"/>
      <c r="U133" s="222"/>
      <c r="V133" s="222"/>
      <c r="W133" s="222"/>
      <c r="X133" s="222"/>
      <c r="Y133" s="222"/>
      <c r="Z133" s="222"/>
      <c r="AA133" s="222"/>
      <c r="AB133" s="222"/>
      <c r="AC133" s="222"/>
      <c r="AD133" s="222"/>
      <c r="AE133" s="222"/>
      <c r="AF133" s="222"/>
      <c r="AG133" s="222"/>
      <c r="AH133" s="222"/>
      <c r="AI133" s="222"/>
      <c r="AM133" s="222"/>
      <c r="AN133" s="222"/>
      <c r="AO133" s="222"/>
      <c r="AP133" s="222"/>
      <c r="AQ133" s="222"/>
      <c r="AR133" s="222"/>
      <c r="AS133" s="222"/>
      <c r="AT133" s="222"/>
      <c r="AU133" s="222"/>
      <c r="AV133" s="222"/>
      <c r="AW133" s="222"/>
      <c r="AX133" s="222"/>
      <c r="AY133" s="222"/>
      <c r="AZ133" s="222"/>
      <c r="BA133" s="222"/>
      <c r="BB133" s="222"/>
      <c r="BC133" s="222"/>
      <c r="CR133" s="234"/>
      <c r="CS133" s="234"/>
      <c r="DX133" s="222"/>
    </row>
    <row r="134" spans="1:128" ht="22.5" customHeight="1">
      <c r="A134" s="222"/>
      <c r="B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M134" s="222"/>
      <c r="AN134" s="222"/>
      <c r="AO134" s="222"/>
      <c r="AP134" s="222"/>
      <c r="AQ134" s="222"/>
      <c r="AR134" s="222"/>
      <c r="AS134" s="222"/>
      <c r="AT134" s="222"/>
      <c r="AU134" s="222"/>
      <c r="AV134" s="222"/>
      <c r="AW134" s="222"/>
      <c r="AX134" s="222"/>
      <c r="AY134" s="222"/>
      <c r="AZ134" s="222"/>
      <c r="BA134" s="222"/>
      <c r="BB134" s="222"/>
      <c r="BC134" s="222"/>
      <c r="CR134" s="234"/>
      <c r="CS134" s="234"/>
      <c r="DX134" s="222"/>
    </row>
    <row r="135" spans="1:128" ht="22.5" customHeight="1">
      <c r="A135" s="222"/>
      <c r="B135" s="222"/>
      <c r="D135" s="222"/>
      <c r="E135" s="222"/>
      <c r="F135" s="222"/>
      <c r="G135" s="222"/>
      <c r="H135" s="222"/>
      <c r="I135" s="222"/>
      <c r="J135" s="222"/>
      <c r="K135" s="222"/>
      <c r="L135" s="222"/>
      <c r="M135" s="222"/>
      <c r="N135" s="222"/>
      <c r="O135" s="222"/>
      <c r="P135" s="222"/>
      <c r="Q135" s="222"/>
      <c r="R135" s="222"/>
      <c r="S135" s="222"/>
      <c r="T135" s="222"/>
      <c r="U135" s="222"/>
      <c r="V135" s="222"/>
      <c r="W135" s="222"/>
      <c r="X135" s="222"/>
      <c r="Y135" s="222"/>
      <c r="Z135" s="222"/>
      <c r="AA135" s="222"/>
      <c r="AB135" s="222"/>
      <c r="AC135" s="222"/>
      <c r="AD135" s="222"/>
      <c r="AE135" s="222"/>
      <c r="AF135" s="222"/>
      <c r="AG135" s="222"/>
      <c r="AH135" s="222"/>
      <c r="AI135" s="222"/>
      <c r="AM135" s="222"/>
      <c r="AN135" s="222"/>
      <c r="AO135" s="222"/>
      <c r="AP135" s="222"/>
      <c r="AQ135" s="222"/>
      <c r="AR135" s="222"/>
      <c r="AS135" s="222"/>
      <c r="AT135" s="222"/>
      <c r="AU135" s="222"/>
      <c r="AV135" s="222"/>
      <c r="AW135" s="222"/>
      <c r="AX135" s="222"/>
      <c r="AY135" s="222"/>
      <c r="AZ135" s="222"/>
      <c r="BA135" s="222"/>
      <c r="BB135" s="222"/>
      <c r="BC135" s="222"/>
      <c r="CR135" s="234"/>
      <c r="CS135" s="234"/>
      <c r="DX135" s="222"/>
    </row>
    <row r="136" spans="1:128" ht="22.5" customHeight="1">
      <c r="A136" s="222"/>
      <c r="B136" s="222"/>
      <c r="D136" s="222"/>
      <c r="E136" s="222"/>
      <c r="F136" s="222"/>
      <c r="G136" s="222"/>
      <c r="H136" s="222"/>
      <c r="I136" s="222"/>
      <c r="J136" s="222"/>
      <c r="K136" s="222"/>
      <c r="L136" s="222"/>
      <c r="M136" s="222"/>
      <c r="N136" s="222"/>
      <c r="O136" s="222"/>
      <c r="P136" s="222"/>
      <c r="Q136" s="222"/>
      <c r="R136" s="222"/>
      <c r="S136" s="222"/>
      <c r="T136" s="222"/>
      <c r="U136" s="222"/>
      <c r="V136" s="222"/>
      <c r="W136" s="222"/>
      <c r="X136" s="222"/>
      <c r="Y136" s="222"/>
      <c r="Z136" s="222"/>
      <c r="AA136" s="222"/>
      <c r="AB136" s="222"/>
      <c r="AC136" s="222"/>
      <c r="AD136" s="222"/>
      <c r="AE136" s="222"/>
      <c r="AF136" s="222"/>
      <c r="AG136" s="222"/>
      <c r="AH136" s="222"/>
      <c r="AI136" s="222"/>
      <c r="AM136" s="222"/>
      <c r="AN136" s="222"/>
      <c r="AO136" s="222"/>
      <c r="AP136" s="222"/>
      <c r="AQ136" s="222"/>
      <c r="AR136" s="222"/>
      <c r="AS136" s="222"/>
      <c r="AT136" s="222"/>
      <c r="AU136" s="222"/>
      <c r="AV136" s="222"/>
      <c r="AW136" s="222"/>
      <c r="AX136" s="222"/>
      <c r="AY136" s="222"/>
      <c r="AZ136" s="222"/>
      <c r="BA136" s="222"/>
      <c r="BB136" s="222"/>
      <c r="BC136" s="222"/>
      <c r="CR136" s="234"/>
      <c r="CS136" s="234"/>
      <c r="DX136" s="222"/>
    </row>
    <row r="137" spans="1:128" ht="22.5" customHeight="1">
      <c r="A137" s="222"/>
      <c r="B137" s="222"/>
      <c r="D137" s="222"/>
      <c r="E137" s="222"/>
      <c r="F137" s="222"/>
      <c r="G137" s="222"/>
      <c r="H137" s="222"/>
      <c r="I137" s="222"/>
      <c r="J137" s="222"/>
      <c r="K137" s="222"/>
      <c r="L137" s="222"/>
      <c r="M137" s="222"/>
      <c r="N137" s="222"/>
      <c r="O137" s="222"/>
      <c r="P137" s="222"/>
      <c r="Q137" s="222"/>
      <c r="R137" s="222"/>
      <c r="S137" s="222"/>
      <c r="T137" s="222"/>
      <c r="U137" s="222"/>
      <c r="V137" s="222"/>
      <c r="W137" s="222"/>
      <c r="X137" s="222"/>
      <c r="Y137" s="222"/>
      <c r="Z137" s="222"/>
      <c r="AA137" s="222"/>
      <c r="AB137" s="222"/>
      <c r="AC137" s="222"/>
      <c r="AD137" s="222"/>
      <c r="AE137" s="222"/>
      <c r="AF137" s="222"/>
      <c r="AG137" s="222"/>
      <c r="AH137" s="222"/>
      <c r="AI137" s="222"/>
      <c r="AM137" s="222"/>
      <c r="AN137" s="222"/>
      <c r="AO137" s="222"/>
      <c r="AP137" s="222"/>
      <c r="AQ137" s="222"/>
      <c r="AR137" s="222"/>
      <c r="AS137" s="222"/>
      <c r="AT137" s="222"/>
      <c r="AU137" s="222"/>
      <c r="AV137" s="222"/>
      <c r="AW137" s="222"/>
      <c r="AX137" s="222"/>
      <c r="AY137" s="222"/>
      <c r="AZ137" s="222"/>
      <c r="BA137" s="222"/>
      <c r="BB137" s="222"/>
      <c r="BC137" s="222"/>
      <c r="CR137" s="234"/>
      <c r="CS137" s="234"/>
      <c r="DX137" s="222"/>
    </row>
    <row r="139" spans="1:128" ht="22.5" customHeight="1">
      <c r="A139" s="222"/>
      <c r="B139" s="222"/>
      <c r="D139" s="222"/>
      <c r="E139" s="222"/>
      <c r="F139" s="222"/>
      <c r="G139" s="222"/>
      <c r="H139" s="222"/>
      <c r="I139" s="222"/>
      <c r="J139" s="222"/>
      <c r="K139" s="222"/>
      <c r="L139" s="222"/>
      <c r="M139" s="222"/>
      <c r="N139" s="222"/>
      <c r="O139" s="222"/>
      <c r="P139" s="222"/>
      <c r="Q139" s="222"/>
      <c r="R139" s="222"/>
      <c r="S139" s="222"/>
      <c r="T139" s="222"/>
      <c r="U139" s="222"/>
      <c r="V139" s="222"/>
      <c r="W139" s="222"/>
      <c r="X139" s="222"/>
      <c r="Y139" s="222"/>
      <c r="Z139" s="222"/>
      <c r="AA139" s="222"/>
      <c r="AB139" s="222"/>
      <c r="AC139" s="222"/>
      <c r="AD139" s="222"/>
      <c r="AE139" s="222"/>
      <c r="AF139" s="222"/>
      <c r="AG139" s="222"/>
      <c r="AH139" s="222"/>
      <c r="AI139" s="222"/>
      <c r="AM139" s="222"/>
      <c r="AN139" s="222"/>
      <c r="AO139" s="222"/>
      <c r="AP139" s="222"/>
      <c r="AQ139" s="222"/>
      <c r="AR139" s="222"/>
      <c r="AS139" s="222"/>
      <c r="AT139" s="222"/>
      <c r="AU139" s="222"/>
      <c r="AV139" s="222"/>
      <c r="AW139" s="222"/>
      <c r="AX139" s="222"/>
      <c r="AY139" s="222"/>
      <c r="AZ139" s="222"/>
      <c r="BA139" s="222"/>
      <c r="BB139" s="222"/>
      <c r="BC139" s="222"/>
      <c r="DW139" s="235">
        <v>1</v>
      </c>
      <c r="DX139" s="222"/>
    </row>
  </sheetData>
  <sheetProtection/>
  <mergeCells count="31">
    <mergeCell ref="BD2:CF2"/>
    <mergeCell ref="AN1:AN2"/>
    <mergeCell ref="DU2:DV2"/>
    <mergeCell ref="CK2:CM2"/>
    <mergeCell ref="AQ1:AT1"/>
    <mergeCell ref="CG1:CI1"/>
    <mergeCell ref="CJ1:DP1"/>
    <mergeCell ref="DJ2:DK2"/>
    <mergeCell ref="CQ2:CX2"/>
    <mergeCell ref="CY2:CZ2"/>
    <mergeCell ref="CN2:CO2"/>
    <mergeCell ref="DH2:DI2"/>
    <mergeCell ref="DL2:DM2"/>
    <mergeCell ref="DF2:DG2"/>
    <mergeCell ref="DA2:DB2"/>
    <mergeCell ref="AO1:AP1"/>
    <mergeCell ref="AU1:BC1"/>
    <mergeCell ref="FK1:HF1"/>
    <mergeCell ref="DQ1:EO1"/>
    <mergeCell ref="EP1:EW1"/>
    <mergeCell ref="EX1:EZ1"/>
    <mergeCell ref="FA1:FJ1"/>
    <mergeCell ref="DD2:DE2"/>
    <mergeCell ref="DS2:DT2"/>
    <mergeCell ref="EA2:EB2"/>
    <mergeCell ref="EG2:EH2"/>
    <mergeCell ref="DY2:DZ2"/>
    <mergeCell ref="EE2:EF2"/>
    <mergeCell ref="EC2:ED2"/>
    <mergeCell ref="DW2:DX2"/>
    <mergeCell ref="DN2:DO2"/>
  </mergeCells>
  <printOptions horizontalCentered="1"/>
  <pageMargins left="0.1968503937007874" right="0.1968503937007874" top="0.5905511811023623" bottom="0.1968503937007874" header="0.1968503937007874" footer="0.1968503937007874"/>
  <pageSetup fitToHeight="0" fitToWidth="1" horizontalDpi="600" verticalDpi="600" orientation="landscape" paperSize="8" scale="11" r:id="rId1"/>
</worksheet>
</file>

<file path=xl/worksheets/sheet11.xml><?xml version="1.0" encoding="utf-8"?>
<worksheet xmlns="http://schemas.openxmlformats.org/spreadsheetml/2006/main" xmlns:r="http://schemas.openxmlformats.org/officeDocument/2006/relationships">
  <dimension ref="A1:L39"/>
  <sheetViews>
    <sheetView tabSelected="1" zoomScaleSheetLayoutView="100" zoomScalePageLayoutView="0" workbookViewId="0" topLeftCell="A1">
      <selection activeCell="P3" sqref="P3"/>
    </sheetView>
  </sheetViews>
  <sheetFormatPr defaultColWidth="9.33203125" defaultRowHeight="11.25"/>
  <cols>
    <col min="1" max="1" width="19.83203125" style="404" customWidth="1"/>
    <col min="2" max="2" width="3.83203125" style="404" customWidth="1"/>
    <col min="3" max="3" width="2.16015625" style="404" customWidth="1"/>
    <col min="4" max="4" width="23.83203125" style="405" customWidth="1"/>
    <col min="5" max="8" width="11" style="405" customWidth="1"/>
    <col min="9" max="9" width="8.83203125" style="405" customWidth="1"/>
    <col min="10" max="10" width="8" style="404" customWidth="1"/>
    <col min="11" max="11" width="8.83203125" style="404" hidden="1" customWidth="1"/>
    <col min="12" max="12" width="4.66015625" style="403" customWidth="1"/>
    <col min="13" max="16384" width="9.33203125" style="403" customWidth="1"/>
  </cols>
  <sheetData>
    <row r="1" spans="1:11" ht="30" customHeight="1">
      <c r="A1" s="467"/>
      <c r="B1" s="623" t="s">
        <v>3902</v>
      </c>
      <c r="C1" s="623"/>
      <c r="D1" s="623"/>
      <c r="E1" s="623"/>
      <c r="F1" s="604" t="s">
        <v>3899</v>
      </c>
      <c r="G1" s="605"/>
      <c r="H1" s="605"/>
      <c r="I1" s="605"/>
      <c r="J1" s="605"/>
      <c r="K1" s="406"/>
    </row>
    <row r="2" spans="1:10" ht="30" customHeight="1" thickBot="1">
      <c r="A2" s="403" t="s">
        <v>3900</v>
      </c>
      <c r="B2" s="624"/>
      <c r="C2" s="624"/>
      <c r="D2" s="624"/>
      <c r="E2" s="624"/>
      <c r="F2" s="610" t="s">
        <v>3904</v>
      </c>
      <c r="G2" s="610"/>
      <c r="H2" s="610"/>
      <c r="I2" s="610"/>
      <c r="J2" s="610"/>
    </row>
    <row r="3" spans="1:12" ht="30" customHeight="1" thickBot="1">
      <c r="A3" s="615" t="s">
        <v>3903</v>
      </c>
      <c r="B3" s="616"/>
      <c r="C3" s="616"/>
      <c r="D3" s="616"/>
      <c r="E3" s="616"/>
      <c r="F3" s="616"/>
      <c r="G3" s="616"/>
      <c r="H3" s="616"/>
      <c r="I3" s="616"/>
      <c r="J3" s="617"/>
      <c r="K3" s="490"/>
      <c r="L3" s="408"/>
    </row>
    <row r="4" spans="1:12" ht="27" customHeight="1" thickBot="1">
      <c r="A4" s="618" t="s">
        <v>3905</v>
      </c>
      <c r="B4" s="618"/>
      <c r="C4" s="618"/>
      <c r="D4" s="613"/>
      <c r="E4" s="614"/>
      <c r="F4" s="614"/>
      <c r="G4" s="614"/>
      <c r="H4" s="614"/>
      <c r="I4" s="614"/>
      <c r="J4" s="614"/>
      <c r="K4" s="513"/>
      <c r="L4" s="407"/>
    </row>
    <row r="5" spans="1:12" ht="27" customHeight="1">
      <c r="A5" s="618" t="s">
        <v>3890</v>
      </c>
      <c r="B5" s="618"/>
      <c r="C5" s="618"/>
      <c r="D5" s="608"/>
      <c r="E5" s="609"/>
      <c r="F5" s="609"/>
      <c r="G5" s="609"/>
      <c r="H5" s="609"/>
      <c r="I5" s="609"/>
      <c r="J5" s="609"/>
      <c r="K5" s="485"/>
      <c r="L5" s="407"/>
    </row>
    <row r="6" spans="1:12" ht="27" customHeight="1">
      <c r="A6" s="619" t="s">
        <v>3882</v>
      </c>
      <c r="B6" s="619"/>
      <c r="C6" s="620"/>
      <c r="D6" s="608" t="s">
        <v>3893</v>
      </c>
      <c r="E6" s="609"/>
      <c r="F6" s="609"/>
      <c r="G6" s="609"/>
      <c r="H6" s="609"/>
      <c r="I6" s="609"/>
      <c r="J6" s="609"/>
      <c r="K6" s="514"/>
      <c r="L6" s="407"/>
    </row>
    <row r="7" spans="1:12" ht="27" customHeight="1" thickBot="1">
      <c r="A7" s="621" t="s">
        <v>3888</v>
      </c>
      <c r="B7" s="621"/>
      <c r="C7" s="622"/>
      <c r="D7" s="538" t="s">
        <v>3901</v>
      </c>
      <c r="E7" s="539"/>
      <c r="F7" s="539"/>
      <c r="G7" s="489"/>
      <c r="H7" s="489"/>
      <c r="I7" s="489"/>
      <c r="J7" s="531"/>
      <c r="K7" s="515"/>
      <c r="L7" s="407"/>
    </row>
    <row r="8" spans="1:12" ht="27" customHeight="1" thickBot="1" thickTop="1">
      <c r="A8" s="606" t="s">
        <v>3892</v>
      </c>
      <c r="B8" s="606"/>
      <c r="C8" s="607"/>
      <c r="D8" s="611" t="s">
        <v>3898</v>
      </c>
      <c r="E8" s="612"/>
      <c r="F8" s="612"/>
      <c r="G8" s="612"/>
      <c r="H8" s="612"/>
      <c r="I8" s="612"/>
      <c r="J8" s="612"/>
      <c r="K8" s="516"/>
      <c r="L8" s="407"/>
    </row>
    <row r="9" spans="1:12" ht="27" customHeight="1" thickTop="1">
      <c r="A9" s="499"/>
      <c r="B9" s="499"/>
      <c r="C9" s="500"/>
      <c r="D9" s="501" t="s">
        <v>3886</v>
      </c>
      <c r="E9" s="501"/>
      <c r="F9" s="501"/>
      <c r="G9" s="501"/>
      <c r="H9" s="501"/>
      <c r="I9" s="501"/>
      <c r="J9" s="501"/>
      <c r="K9" s="497"/>
      <c r="L9" s="520"/>
    </row>
    <row r="10" spans="1:12" ht="27" customHeight="1">
      <c r="A10" s="497"/>
      <c r="B10" s="497"/>
      <c r="C10" s="498"/>
      <c r="D10" s="487" t="s">
        <v>3891</v>
      </c>
      <c r="E10" s="487"/>
      <c r="F10" s="488"/>
      <c r="G10" s="488"/>
      <c r="H10" s="487"/>
      <c r="I10" s="487"/>
      <c r="J10" s="487"/>
      <c r="K10" s="516"/>
      <c r="L10" s="407"/>
    </row>
    <row r="11" spans="1:12" ht="27" customHeight="1">
      <c r="A11" s="503"/>
      <c r="B11" s="503"/>
      <c r="C11" s="502"/>
      <c r="D11" s="506" t="s">
        <v>3885</v>
      </c>
      <c r="E11" s="484"/>
      <c r="F11" s="484"/>
      <c r="G11" s="484"/>
      <c r="H11" s="484"/>
      <c r="I11" s="486"/>
      <c r="J11" s="496"/>
      <c r="K11" s="497"/>
      <c r="L11" s="407"/>
    </row>
    <row r="12" spans="1:12" ht="27" customHeight="1">
      <c r="A12" s="493"/>
      <c r="B12" s="491"/>
      <c r="C12" s="494"/>
      <c r="D12" s="505" t="s">
        <v>3884</v>
      </c>
      <c r="E12" s="492"/>
      <c r="F12" s="492"/>
      <c r="G12" s="492"/>
      <c r="H12" s="492"/>
      <c r="I12" s="491"/>
      <c r="J12" s="504"/>
      <c r="K12" s="516"/>
      <c r="L12" s="407"/>
    </row>
    <row r="13" spans="1:12" ht="27" customHeight="1" thickBot="1">
      <c r="A13" s="512"/>
      <c r="B13" s="495"/>
      <c r="C13" s="507"/>
      <c r="D13" s="508" t="s">
        <v>3887</v>
      </c>
      <c r="E13" s="509"/>
      <c r="F13" s="509"/>
      <c r="G13" s="509"/>
      <c r="H13" s="509"/>
      <c r="I13" s="510"/>
      <c r="J13" s="511"/>
      <c r="K13" s="497"/>
      <c r="L13" s="407"/>
    </row>
    <row r="14" spans="1:12" ht="27" customHeight="1">
      <c r="A14" s="532" t="s">
        <v>3889</v>
      </c>
      <c r="B14" s="533"/>
      <c r="C14" s="534"/>
      <c r="D14" s="535"/>
      <c r="E14" s="535"/>
      <c r="F14" s="535" t="s">
        <v>3883</v>
      </c>
      <c r="G14" s="535"/>
      <c r="H14" s="535"/>
      <c r="I14" s="536"/>
      <c r="J14" s="537"/>
      <c r="K14" s="516"/>
      <c r="L14" s="407"/>
    </row>
    <row r="15" spans="1:12" ht="20.25" customHeight="1">
      <c r="A15" s="521" t="s">
        <v>3894</v>
      </c>
      <c r="B15" s="540"/>
      <c r="C15" s="524"/>
      <c r="D15" s="524"/>
      <c r="E15" s="525"/>
      <c r="F15" s="525"/>
      <c r="G15" s="525"/>
      <c r="H15" s="525"/>
      <c r="I15" s="521"/>
      <c r="J15" s="544"/>
      <c r="K15" s="497"/>
      <c r="L15" s="407"/>
    </row>
    <row r="16" spans="1:12" ht="19.5" customHeight="1">
      <c r="A16" s="545"/>
      <c r="B16" s="545"/>
      <c r="C16" s="526"/>
      <c r="D16" s="526"/>
      <c r="E16" s="527"/>
      <c r="F16" s="527"/>
      <c r="G16" s="527"/>
      <c r="H16" s="527"/>
      <c r="I16" s="545"/>
      <c r="J16" s="546"/>
      <c r="K16" s="516"/>
      <c r="L16" s="407"/>
    </row>
    <row r="17" spans="1:12" ht="19.5" customHeight="1">
      <c r="A17" s="553"/>
      <c r="B17" s="545"/>
      <c r="C17" s="526"/>
      <c r="D17" s="554"/>
      <c r="E17" s="555"/>
      <c r="F17" s="527"/>
      <c r="G17" s="527"/>
      <c r="H17" s="527"/>
      <c r="I17" s="545"/>
      <c r="J17" s="556"/>
      <c r="K17" s="486"/>
      <c r="L17" s="407"/>
    </row>
    <row r="18" spans="1:12" ht="19.5" customHeight="1">
      <c r="A18" s="545"/>
      <c r="B18" s="541"/>
      <c r="C18" s="523"/>
      <c r="D18" s="526"/>
      <c r="E18" s="527"/>
      <c r="F18" s="528"/>
      <c r="G18" s="528"/>
      <c r="H18" s="528"/>
      <c r="I18" s="541"/>
      <c r="J18" s="546"/>
      <c r="K18" s="517"/>
      <c r="L18" s="407"/>
    </row>
    <row r="19" spans="1:12" ht="19.5" customHeight="1">
      <c r="A19" s="529"/>
      <c r="B19" s="529"/>
      <c r="C19" s="522"/>
      <c r="D19" s="522"/>
      <c r="E19" s="543"/>
      <c r="F19" s="543"/>
      <c r="G19" s="543"/>
      <c r="H19" s="543"/>
      <c r="I19" s="529"/>
      <c r="J19" s="547"/>
      <c r="K19" s="486"/>
      <c r="L19" s="407"/>
    </row>
    <row r="20" spans="1:12" ht="19.5" customHeight="1">
      <c r="A20" s="541" t="s">
        <v>3895</v>
      </c>
      <c r="B20" s="521"/>
      <c r="C20" s="524"/>
      <c r="D20" s="524"/>
      <c r="E20" s="525"/>
      <c r="F20" s="525"/>
      <c r="G20" s="525"/>
      <c r="H20" s="525"/>
      <c r="I20" s="521"/>
      <c r="J20" s="544"/>
      <c r="K20" s="486"/>
      <c r="L20" s="407"/>
    </row>
    <row r="21" spans="1:12" ht="19.5" customHeight="1">
      <c r="A21" s="541"/>
      <c r="B21" s="541"/>
      <c r="C21" s="523"/>
      <c r="D21" s="523"/>
      <c r="E21" s="528"/>
      <c r="F21" s="528"/>
      <c r="G21" s="528"/>
      <c r="H21" s="528"/>
      <c r="I21" s="541"/>
      <c r="J21" s="551"/>
      <c r="K21" s="517"/>
      <c r="L21" s="407"/>
    </row>
    <row r="22" spans="1:12" ht="19.5" customHeight="1">
      <c r="A22" s="545"/>
      <c r="B22" s="545"/>
      <c r="C22" s="526"/>
      <c r="D22" s="526"/>
      <c r="E22" s="527"/>
      <c r="F22" s="527"/>
      <c r="G22" s="527"/>
      <c r="H22" s="527"/>
      <c r="I22" s="545"/>
      <c r="J22" s="546"/>
      <c r="K22" s="486"/>
      <c r="L22" s="407"/>
    </row>
    <row r="23" spans="1:12" ht="19.5" customHeight="1">
      <c r="A23" s="553"/>
      <c r="B23" s="553"/>
      <c r="C23" s="526"/>
      <c r="D23" s="554"/>
      <c r="E23" s="527"/>
      <c r="F23" s="527"/>
      <c r="G23" s="527"/>
      <c r="H23" s="527"/>
      <c r="I23" s="545"/>
      <c r="J23" s="546"/>
      <c r="K23" s="517"/>
      <c r="L23" s="407"/>
    </row>
    <row r="24" spans="1:12" ht="19.5" customHeight="1">
      <c r="A24" s="529"/>
      <c r="B24" s="529"/>
      <c r="C24" s="522"/>
      <c r="D24" s="522"/>
      <c r="E24" s="552"/>
      <c r="F24" s="552"/>
      <c r="G24" s="552"/>
      <c r="H24" s="552"/>
      <c r="I24" s="529"/>
      <c r="J24" s="547"/>
      <c r="K24" s="486"/>
      <c r="L24" s="407"/>
    </row>
    <row r="25" spans="1:12" ht="19.5" customHeight="1">
      <c r="A25" s="541" t="s">
        <v>3896</v>
      </c>
      <c r="B25" s="541"/>
      <c r="C25" s="523"/>
      <c r="D25" s="523"/>
      <c r="E25" s="528"/>
      <c r="F25" s="528"/>
      <c r="G25" s="528"/>
      <c r="H25" s="528"/>
      <c r="I25" s="541"/>
      <c r="J25" s="551"/>
      <c r="K25" s="517"/>
      <c r="L25" s="407"/>
    </row>
    <row r="26" spans="1:12" ht="19.5" customHeight="1">
      <c r="A26" s="545"/>
      <c r="B26" s="545"/>
      <c r="C26" s="526"/>
      <c r="D26" s="526"/>
      <c r="E26" s="557"/>
      <c r="F26" s="557"/>
      <c r="G26" s="557"/>
      <c r="H26" s="557"/>
      <c r="I26" s="545"/>
      <c r="J26" s="546"/>
      <c r="K26" s="486"/>
      <c r="L26" s="407"/>
    </row>
    <row r="27" spans="1:12" ht="19.5" customHeight="1" thickBot="1">
      <c r="A27" s="541"/>
      <c r="B27" s="541"/>
      <c r="C27" s="523"/>
      <c r="D27" s="523"/>
      <c r="E27" s="528"/>
      <c r="F27" s="528"/>
      <c r="G27" s="528"/>
      <c r="H27" s="528"/>
      <c r="I27" s="528"/>
      <c r="J27" s="549"/>
      <c r="K27" s="517"/>
      <c r="L27" s="407"/>
    </row>
    <row r="28" spans="1:12" ht="19.5" customHeight="1" thickTop="1">
      <c r="A28" s="545"/>
      <c r="B28" s="545"/>
      <c r="C28" s="526"/>
      <c r="D28" s="526"/>
      <c r="E28" s="527"/>
      <c r="F28" s="527"/>
      <c r="G28" s="527"/>
      <c r="H28" s="527"/>
      <c r="I28" s="527"/>
      <c r="J28" s="548"/>
      <c r="K28" s="530"/>
      <c r="L28" s="407"/>
    </row>
    <row r="29" spans="1:12" ht="19.5" customHeight="1">
      <c r="A29" s="529"/>
      <c r="B29" s="529"/>
      <c r="C29" s="522"/>
      <c r="D29" s="522"/>
      <c r="E29" s="543"/>
      <c r="F29" s="543"/>
      <c r="G29" s="543"/>
      <c r="H29" s="543"/>
      <c r="I29" s="543"/>
      <c r="J29" s="550"/>
      <c r="K29" s="518"/>
      <c r="L29" s="407"/>
    </row>
    <row r="30" spans="1:12" ht="19.5" customHeight="1">
      <c r="A30" s="521" t="s">
        <v>3897</v>
      </c>
      <c r="B30" s="541"/>
      <c r="C30" s="523"/>
      <c r="D30" s="523"/>
      <c r="E30" s="528"/>
      <c r="F30" s="528"/>
      <c r="G30" s="528"/>
      <c r="H30" s="528"/>
      <c r="I30" s="528"/>
      <c r="J30" s="549"/>
      <c r="K30" s="518"/>
      <c r="L30" s="407"/>
    </row>
    <row r="31" spans="1:12" ht="19.5" customHeight="1">
      <c r="A31" s="542"/>
      <c r="B31" s="541"/>
      <c r="C31" s="523"/>
      <c r="D31" s="523"/>
      <c r="E31" s="528"/>
      <c r="F31" s="528"/>
      <c r="G31" s="528"/>
      <c r="H31" s="528"/>
      <c r="I31" s="528"/>
      <c r="J31" s="549"/>
      <c r="K31" s="518"/>
      <c r="L31" s="407"/>
    </row>
    <row r="32" spans="1:12" ht="19.5" customHeight="1">
      <c r="A32" s="545"/>
      <c r="B32" s="545"/>
      <c r="C32" s="526"/>
      <c r="D32" s="526"/>
      <c r="E32" s="527"/>
      <c r="F32" s="527"/>
      <c r="G32" s="527"/>
      <c r="H32" s="527"/>
      <c r="I32" s="527"/>
      <c r="J32" s="548"/>
      <c r="K32" s="518"/>
      <c r="L32" s="407"/>
    </row>
    <row r="33" spans="1:12" ht="19.5" customHeight="1">
      <c r="A33" s="542"/>
      <c r="B33" s="541"/>
      <c r="C33" s="523"/>
      <c r="D33" s="523"/>
      <c r="E33" s="528"/>
      <c r="F33" s="528"/>
      <c r="G33" s="528"/>
      <c r="H33" s="528"/>
      <c r="I33" s="528"/>
      <c r="J33" s="549"/>
      <c r="K33" s="519"/>
      <c r="L33" s="407"/>
    </row>
    <row r="34" spans="1:12" ht="19.5" customHeight="1">
      <c r="A34" s="600"/>
      <c r="B34" s="600"/>
      <c r="C34" s="600"/>
      <c r="D34" s="600"/>
      <c r="E34" s="600"/>
      <c r="F34" s="600"/>
      <c r="G34" s="600"/>
      <c r="H34" s="600"/>
      <c r="I34" s="600"/>
      <c r="J34" s="600"/>
      <c r="K34" s="518"/>
      <c r="L34" s="407"/>
    </row>
    <row r="35" spans="1:12" ht="19.5" customHeight="1">
      <c r="A35" s="601" t="s">
        <v>3906</v>
      </c>
      <c r="B35" s="601"/>
      <c r="C35" s="601"/>
      <c r="D35" s="601"/>
      <c r="E35" s="601"/>
      <c r="F35" s="601"/>
      <c r="G35" s="601"/>
      <c r="H35" s="601"/>
      <c r="I35" s="601"/>
      <c r="J35" s="601"/>
      <c r="K35" s="518"/>
      <c r="L35" s="407"/>
    </row>
    <row r="36" spans="1:12" ht="19.5" customHeight="1">
      <c r="A36" s="603"/>
      <c r="B36" s="603"/>
      <c r="C36" s="603"/>
      <c r="D36" s="603"/>
      <c r="E36" s="603"/>
      <c r="F36" s="603"/>
      <c r="G36" s="603"/>
      <c r="H36" s="603"/>
      <c r="I36" s="603"/>
      <c r="J36" s="603"/>
      <c r="K36" s="518"/>
      <c r="L36" s="407"/>
    </row>
    <row r="37" spans="1:12" ht="19.5" customHeight="1">
      <c r="A37" s="602"/>
      <c r="B37" s="602"/>
      <c r="C37" s="602"/>
      <c r="D37" s="602"/>
      <c r="E37" s="602"/>
      <c r="F37" s="602"/>
      <c r="G37" s="602"/>
      <c r="H37" s="602"/>
      <c r="I37" s="602"/>
      <c r="J37" s="602"/>
      <c r="K37" s="518"/>
      <c r="L37" s="407"/>
    </row>
    <row r="38" spans="1:12" ht="19.5" customHeight="1">
      <c r="A38" s="602"/>
      <c r="B38" s="602"/>
      <c r="C38" s="602"/>
      <c r="D38" s="602"/>
      <c r="E38" s="602"/>
      <c r="F38" s="602"/>
      <c r="G38" s="602"/>
      <c r="H38" s="602"/>
      <c r="I38" s="602"/>
      <c r="J38" s="602"/>
      <c r="K38" s="518"/>
      <c r="L38" s="407"/>
    </row>
    <row r="39" spans="1:12" ht="22.5" customHeight="1">
      <c r="A39" s="599"/>
      <c r="B39" s="599"/>
      <c r="C39" s="599"/>
      <c r="D39" s="599"/>
      <c r="E39" s="599"/>
      <c r="F39" s="599"/>
      <c r="G39" s="599"/>
      <c r="H39" s="599"/>
      <c r="I39" s="599"/>
      <c r="J39" s="599"/>
      <c r="K39" s="518"/>
      <c r="L39" s="407"/>
    </row>
  </sheetData>
  <sheetProtection/>
  <mergeCells count="19">
    <mergeCell ref="F1:J1"/>
    <mergeCell ref="A8:C8"/>
    <mergeCell ref="D6:J6"/>
    <mergeCell ref="F2:J2"/>
    <mergeCell ref="D8:J8"/>
    <mergeCell ref="D5:J5"/>
    <mergeCell ref="D4:J4"/>
    <mergeCell ref="A3:J3"/>
    <mergeCell ref="A4:C4"/>
    <mergeCell ref="A5:C5"/>
    <mergeCell ref="A6:C6"/>
    <mergeCell ref="A7:C7"/>
    <mergeCell ref="B1:E2"/>
    <mergeCell ref="A39:J39"/>
    <mergeCell ref="A34:J34"/>
    <mergeCell ref="A35:J35"/>
    <mergeCell ref="A37:J37"/>
    <mergeCell ref="A38:J38"/>
    <mergeCell ref="A36:J36"/>
  </mergeCells>
  <printOptions horizontalCentered="1"/>
  <pageMargins left="0.7874015748031497" right="0" top="0.1968503937007874" bottom="0"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FF99FF"/>
  </sheetPr>
  <dimension ref="A1:K56"/>
  <sheetViews>
    <sheetView view="pageBreakPreview" zoomScaleSheetLayoutView="100" zoomScalePageLayoutView="0" workbookViewId="0" topLeftCell="A1">
      <selection activeCell="A1" sqref="A1"/>
    </sheetView>
  </sheetViews>
  <sheetFormatPr defaultColWidth="9.33203125" defaultRowHeight="11.25"/>
  <cols>
    <col min="1" max="1" width="11" style="0" customWidth="1"/>
    <col min="2" max="2" width="7.83203125" style="0" customWidth="1"/>
    <col min="3" max="3" width="10.83203125" style="0" customWidth="1"/>
    <col min="4" max="4" width="7.83203125" style="0" customWidth="1"/>
    <col min="5" max="10" width="11.66015625" style="0" customWidth="1"/>
    <col min="11" max="11" width="2.33203125" style="0" customWidth="1"/>
  </cols>
  <sheetData>
    <row r="1" spans="1:11" ht="18.75">
      <c r="A1" s="411" t="s">
        <v>2119</v>
      </c>
      <c r="B1" s="412"/>
      <c r="C1" s="412"/>
      <c r="D1" s="412"/>
      <c r="E1" s="412"/>
      <c r="F1" s="412"/>
      <c r="G1" s="412"/>
      <c r="H1" s="689" t="s">
        <v>3386</v>
      </c>
      <c r="I1" s="689"/>
      <c r="J1" s="689"/>
      <c r="K1" s="412"/>
    </row>
    <row r="2" spans="1:11" ht="14.25">
      <c r="A2" s="399"/>
      <c r="B2" s="399"/>
      <c r="C2" s="399"/>
      <c r="D2" s="399"/>
      <c r="E2" s="399"/>
      <c r="F2" s="399"/>
      <c r="G2" s="399"/>
      <c r="H2" s="399"/>
      <c r="I2" s="399"/>
      <c r="J2" s="399"/>
      <c r="K2" s="412"/>
    </row>
    <row r="3" spans="1:11" ht="14.25">
      <c r="A3" s="412" t="s">
        <v>3347</v>
      </c>
      <c r="B3" s="412"/>
      <c r="C3" s="399"/>
      <c r="D3" s="399"/>
      <c r="E3" s="399"/>
      <c r="F3" s="399"/>
      <c r="G3" s="399"/>
      <c r="H3" s="399"/>
      <c r="I3" s="399"/>
      <c r="J3" s="399"/>
      <c r="K3" s="412"/>
    </row>
    <row r="4" spans="1:11" ht="14.25">
      <c r="A4" s="667" t="s">
        <v>2120</v>
      </c>
      <c r="B4" s="667"/>
      <c r="C4" s="667"/>
      <c r="D4" s="667"/>
      <c r="E4" s="690" t="s">
        <v>3387</v>
      </c>
      <c r="F4" s="690"/>
      <c r="G4" s="691" t="s">
        <v>3388</v>
      </c>
      <c r="H4" s="692"/>
      <c r="I4" s="693" t="s">
        <v>2121</v>
      </c>
      <c r="J4" s="694"/>
      <c r="K4" s="412"/>
    </row>
    <row r="5" spans="1:11" ht="14.25">
      <c r="A5" s="468"/>
      <c r="B5" s="469"/>
      <c r="C5" s="470" t="s">
        <v>3354</v>
      </c>
      <c r="D5" s="471" t="s">
        <v>3355</v>
      </c>
      <c r="E5" s="683">
        <v>23000</v>
      </c>
      <c r="F5" s="684"/>
      <c r="G5" s="685">
        <v>34000</v>
      </c>
      <c r="H5" s="686"/>
      <c r="I5" s="683">
        <v>46000</v>
      </c>
      <c r="J5" s="684"/>
      <c r="K5" s="412"/>
    </row>
    <row r="6" spans="1:11" ht="14.25">
      <c r="A6" s="472" t="s">
        <v>3354</v>
      </c>
      <c r="B6" s="473" t="s">
        <v>3356</v>
      </c>
      <c r="C6" s="470" t="s">
        <v>3357</v>
      </c>
      <c r="D6" s="471" t="s">
        <v>3355</v>
      </c>
      <c r="E6" s="683">
        <v>29000</v>
      </c>
      <c r="F6" s="684"/>
      <c r="G6" s="685">
        <v>39000</v>
      </c>
      <c r="H6" s="686"/>
      <c r="I6" s="683">
        <v>51000</v>
      </c>
      <c r="J6" s="684"/>
      <c r="K6" s="412"/>
    </row>
    <row r="7" spans="1:11" ht="14.25">
      <c r="A7" s="472" t="s">
        <v>3357</v>
      </c>
      <c r="B7" s="473" t="s">
        <v>3356</v>
      </c>
      <c r="C7" s="470" t="s">
        <v>3358</v>
      </c>
      <c r="D7" s="471" t="s">
        <v>3355</v>
      </c>
      <c r="E7" s="683">
        <v>44000</v>
      </c>
      <c r="F7" s="684"/>
      <c r="G7" s="687"/>
      <c r="H7" s="688"/>
      <c r="I7" s="683">
        <v>59000</v>
      </c>
      <c r="J7" s="684"/>
      <c r="K7" s="412"/>
    </row>
    <row r="8" spans="1:11" ht="14.25">
      <c r="A8" s="472" t="s">
        <v>3358</v>
      </c>
      <c r="B8" s="473" t="s">
        <v>3356</v>
      </c>
      <c r="C8" s="470" t="s">
        <v>3359</v>
      </c>
      <c r="D8" s="471" t="s">
        <v>3355</v>
      </c>
      <c r="E8" s="677">
        <v>80000</v>
      </c>
      <c r="F8" s="678"/>
      <c r="G8" s="678"/>
      <c r="H8" s="678"/>
      <c r="I8" s="678"/>
      <c r="J8" s="476"/>
      <c r="K8" s="412"/>
    </row>
    <row r="9" spans="1:11" ht="14.25">
      <c r="A9" s="468" t="s">
        <v>3360</v>
      </c>
      <c r="B9" s="469" t="s">
        <v>3356</v>
      </c>
      <c r="C9" s="470" t="s">
        <v>3361</v>
      </c>
      <c r="D9" s="471" t="s">
        <v>3355</v>
      </c>
      <c r="E9" s="677">
        <v>95000</v>
      </c>
      <c r="F9" s="678"/>
      <c r="G9" s="678"/>
      <c r="H9" s="678"/>
      <c r="I9" s="678"/>
      <c r="J9" s="476"/>
      <c r="K9" s="412"/>
    </row>
    <row r="10" spans="1:11" ht="14.25">
      <c r="A10" s="468" t="s">
        <v>3362</v>
      </c>
      <c r="B10" s="469" t="s">
        <v>3356</v>
      </c>
      <c r="C10" s="470" t="s">
        <v>3363</v>
      </c>
      <c r="D10" s="471" t="s">
        <v>3355</v>
      </c>
      <c r="E10" s="677">
        <v>180000</v>
      </c>
      <c r="F10" s="678"/>
      <c r="G10" s="678"/>
      <c r="H10" s="678"/>
      <c r="I10" s="678"/>
      <c r="J10" s="476"/>
      <c r="K10" s="412"/>
    </row>
    <row r="11" spans="1:11" ht="14.25">
      <c r="A11" s="468" t="s">
        <v>3364</v>
      </c>
      <c r="B11" s="469" t="s">
        <v>3356</v>
      </c>
      <c r="C11" s="470" t="s">
        <v>3365</v>
      </c>
      <c r="D11" s="471" t="s">
        <v>3355</v>
      </c>
      <c r="E11" s="677">
        <v>270000</v>
      </c>
      <c r="F11" s="678"/>
      <c r="G11" s="678"/>
      <c r="H11" s="678"/>
      <c r="I11" s="678"/>
      <c r="J11" s="476"/>
      <c r="K11" s="412"/>
    </row>
    <row r="12" spans="1:11" ht="14.25">
      <c r="A12" s="679" t="s">
        <v>3366</v>
      </c>
      <c r="B12" s="680"/>
      <c r="C12" s="680"/>
      <c r="D12" s="681"/>
      <c r="E12" s="474" t="s">
        <v>3389</v>
      </c>
      <c r="F12" s="475" t="s">
        <v>3390</v>
      </c>
      <c r="G12" s="682"/>
      <c r="H12" s="682"/>
      <c r="I12" s="682"/>
      <c r="J12" s="476" t="s">
        <v>3329</v>
      </c>
      <c r="K12" s="412"/>
    </row>
    <row r="13" spans="1:11" ht="14.25">
      <c r="A13" s="399"/>
      <c r="B13" s="399"/>
      <c r="C13" s="399"/>
      <c r="D13" s="399"/>
      <c r="E13" s="399"/>
      <c r="F13" s="399"/>
      <c r="G13" s="399"/>
      <c r="H13" s="399"/>
      <c r="I13" s="399"/>
      <c r="J13" s="399"/>
      <c r="K13" s="412"/>
    </row>
    <row r="14" spans="1:11" ht="14.25">
      <c r="A14" s="412" t="s">
        <v>3348</v>
      </c>
      <c r="B14" s="399"/>
      <c r="C14" s="399"/>
      <c r="D14" s="399"/>
      <c r="E14" s="399"/>
      <c r="F14" s="399"/>
      <c r="G14" s="399"/>
      <c r="H14" s="399"/>
      <c r="I14" s="399"/>
      <c r="J14" s="399"/>
      <c r="K14" s="412"/>
    </row>
    <row r="15" spans="1:11" ht="14.25">
      <c r="A15" s="667" t="s">
        <v>3128</v>
      </c>
      <c r="B15" s="667"/>
      <c r="C15" s="667"/>
      <c r="D15" s="667"/>
      <c r="E15" s="667" t="s">
        <v>3129</v>
      </c>
      <c r="F15" s="667"/>
      <c r="G15" s="667"/>
      <c r="H15" s="667"/>
      <c r="I15" s="638"/>
      <c r="J15" s="448"/>
      <c r="K15" s="412"/>
    </row>
    <row r="16" spans="1:11" ht="14.25">
      <c r="A16" s="666" t="s">
        <v>3130</v>
      </c>
      <c r="B16" s="666"/>
      <c r="C16" s="666"/>
      <c r="D16" s="666"/>
      <c r="E16" s="667" t="s">
        <v>3131</v>
      </c>
      <c r="F16" s="667"/>
      <c r="G16" s="667"/>
      <c r="H16" s="667"/>
      <c r="I16" s="638"/>
      <c r="J16" s="448"/>
      <c r="K16" s="412"/>
    </row>
    <row r="17" spans="1:11" ht="14.25">
      <c r="A17" s="666" t="s">
        <v>3132</v>
      </c>
      <c r="B17" s="666"/>
      <c r="C17" s="666"/>
      <c r="D17" s="666"/>
      <c r="E17" s="667" t="s">
        <v>3133</v>
      </c>
      <c r="F17" s="667"/>
      <c r="G17" s="667"/>
      <c r="H17" s="667"/>
      <c r="I17" s="638"/>
      <c r="J17" s="448"/>
      <c r="K17" s="412"/>
    </row>
    <row r="18" spans="1:11" ht="14.25">
      <c r="A18" s="666" t="s">
        <v>3134</v>
      </c>
      <c r="B18" s="666"/>
      <c r="C18" s="666"/>
      <c r="D18" s="666"/>
      <c r="E18" s="667" t="s">
        <v>3135</v>
      </c>
      <c r="F18" s="667"/>
      <c r="G18" s="667"/>
      <c r="H18" s="667"/>
      <c r="I18" s="638"/>
      <c r="J18" s="448"/>
      <c r="K18" s="412"/>
    </row>
    <row r="19" spans="1:11" ht="15" thickBot="1">
      <c r="A19" s="399"/>
      <c r="B19" s="399"/>
      <c r="C19" s="399"/>
      <c r="D19" s="399"/>
      <c r="E19" s="399"/>
      <c r="F19" s="399"/>
      <c r="G19" s="399"/>
      <c r="H19" s="399"/>
      <c r="I19" s="399"/>
      <c r="J19" s="399"/>
      <c r="K19" s="412"/>
    </row>
    <row r="20" spans="1:11" ht="14.25">
      <c r="A20" s="668" t="s">
        <v>3367</v>
      </c>
      <c r="B20" s="669"/>
      <c r="C20" s="669"/>
      <c r="D20" s="669"/>
      <c r="E20" s="669"/>
      <c r="F20" s="669"/>
      <c r="G20" s="669"/>
      <c r="H20" s="669"/>
      <c r="I20" s="669"/>
      <c r="J20" s="670"/>
      <c r="K20" s="412"/>
    </row>
    <row r="21" spans="1:11" ht="15" thickBot="1">
      <c r="A21" s="671" t="s">
        <v>3151</v>
      </c>
      <c r="B21" s="672"/>
      <c r="C21" s="672"/>
      <c r="D21" s="672"/>
      <c r="E21" s="672"/>
      <c r="F21" s="672"/>
      <c r="G21" s="672"/>
      <c r="H21" s="672"/>
      <c r="I21" s="672"/>
      <c r="J21" s="673"/>
      <c r="K21" s="412"/>
    </row>
    <row r="22" spans="1:11" ht="14.25">
      <c r="A22" s="414" t="s">
        <v>2912</v>
      </c>
      <c r="B22" s="415"/>
      <c r="C22" s="414"/>
      <c r="D22" s="414"/>
      <c r="E22" s="414" t="s">
        <v>3368</v>
      </c>
      <c r="F22" s="414"/>
      <c r="G22" s="414"/>
      <c r="H22" s="414"/>
      <c r="I22" s="414"/>
      <c r="J22" s="399"/>
      <c r="K22" s="412"/>
    </row>
    <row r="23" spans="1:11" ht="14.25">
      <c r="A23" s="412" t="s">
        <v>3349</v>
      </c>
      <c r="B23" s="399"/>
      <c r="C23" s="399"/>
      <c r="D23" s="399"/>
      <c r="E23" s="399"/>
      <c r="F23" s="399"/>
      <c r="G23" s="399"/>
      <c r="H23" s="399"/>
      <c r="I23" s="399"/>
      <c r="J23" s="399"/>
      <c r="K23" s="412"/>
    </row>
    <row r="24" spans="1:11" ht="14.25">
      <c r="A24" s="651" t="s">
        <v>3342</v>
      </c>
      <c r="B24" s="651"/>
      <c r="C24" s="651"/>
      <c r="D24" s="651"/>
      <c r="E24" s="477" t="s">
        <v>3391</v>
      </c>
      <c r="F24" s="674" t="s">
        <v>3392</v>
      </c>
      <c r="G24" s="675"/>
      <c r="H24" s="675"/>
      <c r="I24" s="675"/>
      <c r="J24" s="676"/>
      <c r="K24" s="412"/>
    </row>
    <row r="25" spans="1:11" ht="14.25">
      <c r="A25" s="651"/>
      <c r="B25" s="651"/>
      <c r="C25" s="651"/>
      <c r="D25" s="651"/>
      <c r="E25" s="477" t="s">
        <v>3393</v>
      </c>
      <c r="F25" s="674" t="s">
        <v>3394</v>
      </c>
      <c r="G25" s="675"/>
      <c r="H25" s="675"/>
      <c r="I25" s="675"/>
      <c r="J25" s="676"/>
      <c r="K25" s="412"/>
    </row>
    <row r="26" spans="1:11" ht="14.25">
      <c r="A26" s="644" t="s">
        <v>3343</v>
      </c>
      <c r="B26" s="644"/>
      <c r="C26" s="644"/>
      <c r="D26" s="644"/>
      <c r="E26" s="417"/>
      <c r="F26" s="418"/>
      <c r="G26" s="418"/>
      <c r="H26" s="418"/>
      <c r="I26" s="418"/>
      <c r="J26" s="419"/>
      <c r="K26" s="412"/>
    </row>
    <row r="27" spans="1:11" ht="14.25">
      <c r="A27" s="645" t="s">
        <v>3136</v>
      </c>
      <c r="B27" s="646"/>
      <c r="C27" s="645"/>
      <c r="D27" s="645"/>
      <c r="E27" s="647">
        <v>5000</v>
      </c>
      <c r="F27" s="648"/>
      <c r="G27" s="648"/>
      <c r="H27" s="648"/>
      <c r="I27" s="648"/>
      <c r="J27" s="420" t="s">
        <v>3369</v>
      </c>
      <c r="K27" s="412"/>
    </row>
    <row r="28" spans="1:11" ht="14.25">
      <c r="A28" s="421" t="s">
        <v>3137</v>
      </c>
      <c r="B28" s="422"/>
      <c r="C28" s="421"/>
      <c r="D28" s="421"/>
      <c r="E28" s="649">
        <v>10000</v>
      </c>
      <c r="F28" s="650"/>
      <c r="G28" s="650"/>
      <c r="H28" s="650"/>
      <c r="I28" s="650"/>
      <c r="J28" s="423" t="s">
        <v>3369</v>
      </c>
      <c r="K28" s="412"/>
    </row>
    <row r="29" spans="1:11" ht="14.25">
      <c r="A29" s="651" t="s">
        <v>3370</v>
      </c>
      <c r="B29" s="651"/>
      <c r="C29" s="651"/>
      <c r="D29" s="651"/>
      <c r="E29" s="652" t="s">
        <v>3395</v>
      </c>
      <c r="F29" s="653"/>
      <c r="G29" s="653"/>
      <c r="H29" s="653"/>
      <c r="I29" s="653"/>
      <c r="J29" s="654"/>
      <c r="K29" s="412"/>
    </row>
    <row r="30" spans="1:11" ht="14.25">
      <c r="A30" s="651"/>
      <c r="B30" s="651"/>
      <c r="C30" s="651"/>
      <c r="D30" s="651"/>
      <c r="E30" s="478" t="s">
        <v>3396</v>
      </c>
      <c r="F30" s="478"/>
      <c r="G30" s="478"/>
      <c r="H30" s="478"/>
      <c r="I30" s="478"/>
      <c r="J30" s="479"/>
      <c r="K30" s="412"/>
    </row>
    <row r="31" spans="1:11" ht="14.25">
      <c r="A31" s="424"/>
      <c r="B31" s="425"/>
      <c r="C31" s="425"/>
      <c r="D31" s="426"/>
      <c r="E31" s="454" t="s">
        <v>3138</v>
      </c>
      <c r="F31" s="455"/>
      <c r="G31" s="455"/>
      <c r="H31" s="655">
        <v>10000</v>
      </c>
      <c r="I31" s="655"/>
      <c r="J31" s="456" t="s">
        <v>3369</v>
      </c>
      <c r="K31" s="412"/>
    </row>
    <row r="32" spans="1:11" ht="14.25">
      <c r="A32" s="656" t="s">
        <v>3371</v>
      </c>
      <c r="B32" s="657"/>
      <c r="C32" s="657"/>
      <c r="D32" s="658"/>
      <c r="E32" s="457" t="s">
        <v>3139</v>
      </c>
      <c r="F32" s="458"/>
      <c r="G32" s="458"/>
      <c r="H32" s="659">
        <v>20000</v>
      </c>
      <c r="I32" s="659"/>
      <c r="J32" s="459" t="s">
        <v>3369</v>
      </c>
      <c r="K32" s="412"/>
    </row>
    <row r="33" spans="1:11" ht="14.25">
      <c r="A33" s="660" t="s">
        <v>3372</v>
      </c>
      <c r="B33" s="661"/>
      <c r="C33" s="661"/>
      <c r="D33" s="662"/>
      <c r="E33" s="460" t="s">
        <v>3140</v>
      </c>
      <c r="F33" s="461"/>
      <c r="G33" s="461"/>
      <c r="H33" s="480" t="s">
        <v>3141</v>
      </c>
      <c r="I33" s="480"/>
      <c r="J33" s="481"/>
      <c r="K33" s="412"/>
    </row>
    <row r="34" spans="1:11" ht="14.25">
      <c r="A34" s="427"/>
      <c r="B34" s="428"/>
      <c r="C34" s="428"/>
      <c r="D34" s="429"/>
      <c r="E34" s="430"/>
      <c r="F34" s="431"/>
      <c r="G34" s="431"/>
      <c r="H34" s="432"/>
      <c r="I34" s="482"/>
      <c r="J34" s="433"/>
      <c r="K34" s="412"/>
    </row>
    <row r="35" spans="1:11" ht="15" thickBot="1">
      <c r="A35" s="414"/>
      <c r="B35" s="414"/>
      <c r="C35" s="414"/>
      <c r="D35" s="414"/>
      <c r="E35" s="414"/>
      <c r="F35" s="414"/>
      <c r="G35" s="414"/>
      <c r="H35" s="414"/>
      <c r="I35" s="414"/>
      <c r="J35" s="399"/>
      <c r="K35" s="412"/>
    </row>
    <row r="36" spans="1:11" ht="14.25">
      <c r="A36" s="413" t="s">
        <v>3373</v>
      </c>
      <c r="B36" s="434"/>
      <c r="C36" s="434"/>
      <c r="D36" s="434"/>
      <c r="E36" s="434"/>
      <c r="F36" s="434"/>
      <c r="G36" s="434"/>
      <c r="H36" s="434"/>
      <c r="I36" s="434"/>
      <c r="J36" s="435"/>
      <c r="K36" s="412"/>
    </row>
    <row r="37" spans="1:11" ht="15" thickBot="1">
      <c r="A37" s="663" t="s">
        <v>3142</v>
      </c>
      <c r="B37" s="664"/>
      <c r="C37" s="664"/>
      <c r="D37" s="664"/>
      <c r="E37" s="664"/>
      <c r="F37" s="664"/>
      <c r="G37" s="664"/>
      <c r="H37" s="664"/>
      <c r="I37" s="664"/>
      <c r="J37" s="665"/>
      <c r="K37" s="412"/>
    </row>
    <row r="38" spans="1:11" ht="14.25">
      <c r="A38" s="399" t="s">
        <v>2912</v>
      </c>
      <c r="B38" s="399"/>
      <c r="C38" s="399"/>
      <c r="D38" s="399"/>
      <c r="E38" s="399"/>
      <c r="F38" s="399"/>
      <c r="G38" s="399"/>
      <c r="H38" s="399"/>
      <c r="I38" s="399"/>
      <c r="J38" s="399"/>
      <c r="K38" s="412"/>
    </row>
    <row r="39" spans="1:11" ht="15" thickBot="1">
      <c r="A39" s="412" t="s">
        <v>3350</v>
      </c>
      <c r="B39" s="399"/>
      <c r="C39" s="399"/>
      <c r="D39" s="399"/>
      <c r="E39" s="399"/>
      <c r="F39" s="399"/>
      <c r="G39" s="399"/>
      <c r="H39" s="399"/>
      <c r="I39" s="399"/>
      <c r="J39" s="399"/>
      <c r="K39" s="412"/>
    </row>
    <row r="40" spans="1:11" ht="15" thickTop="1">
      <c r="A40" s="436" t="s">
        <v>3374</v>
      </c>
      <c r="B40" s="437"/>
      <c r="C40" s="437"/>
      <c r="D40" s="437"/>
      <c r="E40" s="437"/>
      <c r="F40" s="437"/>
      <c r="G40" s="437"/>
      <c r="H40" s="437"/>
      <c r="I40" s="437"/>
      <c r="J40" s="438"/>
      <c r="K40" s="412"/>
    </row>
    <row r="41" spans="1:11" ht="15" thickBot="1">
      <c r="A41" s="641" t="s">
        <v>3143</v>
      </c>
      <c r="B41" s="642"/>
      <c r="C41" s="642"/>
      <c r="D41" s="642"/>
      <c r="E41" s="642"/>
      <c r="F41" s="642"/>
      <c r="G41" s="642"/>
      <c r="H41" s="642"/>
      <c r="I41" s="642"/>
      <c r="J41" s="643"/>
      <c r="K41" s="412"/>
    </row>
    <row r="42" spans="1:11" ht="18" customHeight="1" thickTop="1">
      <c r="A42" s="439"/>
      <c r="B42" s="439"/>
      <c r="C42" s="439"/>
      <c r="D42" s="439"/>
      <c r="E42" s="628" t="s">
        <v>3375</v>
      </c>
      <c r="F42" s="630" t="s">
        <v>3376</v>
      </c>
      <c r="G42" s="632"/>
      <c r="H42" s="632"/>
      <c r="I42" s="632"/>
      <c r="J42" s="632"/>
      <c r="K42" s="412"/>
    </row>
    <row r="43" spans="1:11" ht="15" thickBot="1">
      <c r="A43" s="399"/>
      <c r="B43" s="399"/>
      <c r="C43" s="399"/>
      <c r="D43" s="399"/>
      <c r="E43" s="629"/>
      <c r="F43" s="631"/>
      <c r="G43" s="633"/>
      <c r="H43" s="633"/>
      <c r="I43" s="633"/>
      <c r="J43" s="633"/>
      <c r="K43" s="412"/>
    </row>
    <row r="44" spans="1:11" ht="15" thickTop="1">
      <c r="A44" s="412" t="s">
        <v>3351</v>
      </c>
      <c r="B44" s="399"/>
      <c r="C44" s="399"/>
      <c r="D44" s="399"/>
      <c r="E44" s="399"/>
      <c r="F44" s="399"/>
      <c r="G44" s="399"/>
      <c r="H44" s="399"/>
      <c r="I44" s="399"/>
      <c r="J44" s="399"/>
      <c r="K44" s="412"/>
    </row>
    <row r="45" spans="1:11" ht="14.25">
      <c r="A45" s="634" t="s">
        <v>3144</v>
      </c>
      <c r="B45" s="635"/>
      <c r="C45" s="635"/>
      <c r="D45" s="636"/>
      <c r="E45" s="634" t="s">
        <v>3145</v>
      </c>
      <c r="F45" s="635"/>
      <c r="G45" s="635"/>
      <c r="H45" s="635"/>
      <c r="I45" s="636"/>
      <c r="J45" s="399"/>
      <c r="K45" s="412"/>
    </row>
    <row r="46" spans="1:11" ht="14.25">
      <c r="A46" s="637" t="s">
        <v>3146</v>
      </c>
      <c r="B46" s="637"/>
      <c r="C46" s="637"/>
      <c r="D46" s="637"/>
      <c r="E46" s="637" t="s">
        <v>3377</v>
      </c>
      <c r="F46" s="637"/>
      <c r="G46" s="637"/>
      <c r="H46" s="637"/>
      <c r="I46" s="637"/>
      <c r="J46" s="399"/>
      <c r="K46" s="412"/>
    </row>
    <row r="47" spans="1:11" ht="15" customHeight="1">
      <c r="A47" s="399"/>
      <c r="B47" s="399"/>
      <c r="C47" s="399"/>
      <c r="D47" s="399"/>
      <c r="E47" s="425"/>
      <c r="F47" s="440"/>
      <c r="G47" s="483"/>
      <c r="H47" s="439"/>
      <c r="I47" s="439"/>
      <c r="J47" s="439"/>
      <c r="K47" s="412"/>
    </row>
    <row r="48" spans="1:11" ht="19.5" customHeight="1">
      <c r="A48" s="399" t="s">
        <v>3378</v>
      </c>
      <c r="B48" s="399"/>
      <c r="C48" s="399"/>
      <c r="D48" s="399"/>
      <c r="E48" s="441"/>
      <c r="F48" s="160"/>
      <c r="G48" s="160"/>
      <c r="H48" s="439"/>
      <c r="I48" s="439"/>
      <c r="J48" s="439"/>
      <c r="K48" s="412"/>
    </row>
    <row r="49" spans="1:11" ht="19.5" customHeight="1">
      <c r="A49" s="462" t="s">
        <v>3352</v>
      </c>
      <c r="B49" s="463"/>
      <c r="C49" s="463"/>
      <c r="D49" s="463"/>
      <c r="E49" s="464"/>
      <c r="F49" s="465"/>
      <c r="G49" s="465"/>
      <c r="H49" s="466"/>
      <c r="I49" s="466"/>
      <c r="J49" s="439"/>
      <c r="K49" s="412"/>
    </row>
    <row r="50" spans="1:11" ht="14.25">
      <c r="A50" s="416" t="s">
        <v>3353</v>
      </c>
      <c r="B50" s="638" t="s">
        <v>3147</v>
      </c>
      <c r="C50" s="639"/>
      <c r="D50" s="638" t="s">
        <v>1005</v>
      </c>
      <c r="E50" s="639"/>
      <c r="F50" s="638" t="s">
        <v>3379</v>
      </c>
      <c r="G50" s="640"/>
      <c r="H50" s="639"/>
      <c r="I50" s="638" t="s">
        <v>3148</v>
      </c>
      <c r="J50" s="639"/>
      <c r="K50" s="412"/>
    </row>
    <row r="51" spans="1:11" ht="14.25">
      <c r="A51" s="442"/>
      <c r="B51" s="443"/>
      <c r="C51" s="444"/>
      <c r="D51" s="638"/>
      <c r="E51" s="639"/>
      <c r="F51" s="445"/>
      <c r="G51" s="445"/>
      <c r="H51" s="446"/>
      <c r="I51" s="447"/>
      <c r="J51" s="448"/>
      <c r="K51" s="412"/>
    </row>
    <row r="52" spans="1:11" ht="14.25">
      <c r="A52" s="442"/>
      <c r="B52" s="443"/>
      <c r="C52" s="444"/>
      <c r="D52" s="443"/>
      <c r="E52" s="446"/>
      <c r="F52" s="445"/>
      <c r="G52" s="445"/>
      <c r="H52" s="448"/>
      <c r="I52" s="447"/>
      <c r="J52" s="448"/>
      <c r="K52" s="412"/>
    </row>
    <row r="53" spans="1:11" ht="14.25">
      <c r="A53" s="442"/>
      <c r="B53" s="443"/>
      <c r="C53" s="444"/>
      <c r="D53" s="443"/>
      <c r="E53" s="444"/>
      <c r="F53" s="449"/>
      <c r="G53" s="449"/>
      <c r="H53" s="444"/>
      <c r="I53" s="449"/>
      <c r="J53" s="444"/>
      <c r="K53" s="412"/>
    </row>
    <row r="54" spans="1:11" ht="14.25">
      <c r="A54" s="442" t="s">
        <v>3149</v>
      </c>
      <c r="B54" s="450"/>
      <c r="C54" s="444"/>
      <c r="D54" s="443"/>
      <c r="E54" s="444"/>
      <c r="F54" s="449"/>
      <c r="G54" s="449"/>
      <c r="H54" s="444"/>
      <c r="I54" s="449"/>
      <c r="J54" s="444"/>
      <c r="K54" s="412"/>
    </row>
    <row r="55" spans="1:11" ht="14.25">
      <c r="A55" s="625" t="s">
        <v>3150</v>
      </c>
      <c r="B55" s="625"/>
      <c r="C55" s="625"/>
      <c r="D55" s="625"/>
      <c r="E55" s="452" t="s">
        <v>3380</v>
      </c>
      <c r="F55" s="452"/>
      <c r="G55" s="626"/>
      <c r="H55" s="626"/>
      <c r="I55" s="626"/>
      <c r="J55" s="626"/>
      <c r="K55" s="412"/>
    </row>
    <row r="56" spans="1:11" ht="15" thickBot="1">
      <c r="A56" s="451"/>
      <c r="B56" s="451"/>
      <c r="C56" s="451"/>
      <c r="D56" s="451"/>
      <c r="E56" s="453"/>
      <c r="F56" s="453"/>
      <c r="G56" s="627"/>
      <c r="H56" s="627"/>
      <c r="I56" s="627"/>
      <c r="J56" s="627"/>
      <c r="K56" s="412"/>
    </row>
    <row r="57" ht="8.25" customHeight="1" thickTop="1"/>
  </sheetData>
  <sheetProtection/>
  <mergeCells count="59">
    <mergeCell ref="E5:F5"/>
    <mergeCell ref="G5:H5"/>
    <mergeCell ref="I5:J5"/>
    <mergeCell ref="H1:J1"/>
    <mergeCell ref="A4:D4"/>
    <mergeCell ref="E4:F4"/>
    <mergeCell ref="G4:H4"/>
    <mergeCell ref="I4:J4"/>
    <mergeCell ref="E6:F6"/>
    <mergeCell ref="G6:H6"/>
    <mergeCell ref="I6:J6"/>
    <mergeCell ref="E7:F7"/>
    <mergeCell ref="G7:H7"/>
    <mergeCell ref="I7:J7"/>
    <mergeCell ref="E8:I8"/>
    <mergeCell ref="E9:I9"/>
    <mergeCell ref="E10:I10"/>
    <mergeCell ref="E11:I11"/>
    <mergeCell ref="A12:D12"/>
    <mergeCell ref="G12:I12"/>
    <mergeCell ref="A15:D15"/>
    <mergeCell ref="E15:I15"/>
    <mergeCell ref="A16:D16"/>
    <mergeCell ref="E16:I16"/>
    <mergeCell ref="A17:D17"/>
    <mergeCell ref="E17:I17"/>
    <mergeCell ref="A18:D18"/>
    <mergeCell ref="E18:I18"/>
    <mergeCell ref="A20:J20"/>
    <mergeCell ref="A21:J21"/>
    <mergeCell ref="A24:D25"/>
    <mergeCell ref="F24:J24"/>
    <mergeCell ref="F25:J25"/>
    <mergeCell ref="A41:J41"/>
    <mergeCell ref="A26:D26"/>
    <mergeCell ref="A27:D27"/>
    <mergeCell ref="E27:I27"/>
    <mergeCell ref="E28:I28"/>
    <mergeCell ref="A29:D30"/>
    <mergeCell ref="E29:J29"/>
    <mergeCell ref="H31:I31"/>
    <mergeCell ref="A32:D32"/>
    <mergeCell ref="H32:I32"/>
    <mergeCell ref="A33:D33"/>
    <mergeCell ref="A37:J37"/>
    <mergeCell ref="A55:D55"/>
    <mergeCell ref="G55:J56"/>
    <mergeCell ref="E42:E43"/>
    <mergeCell ref="F42:F43"/>
    <mergeCell ref="G42:J43"/>
    <mergeCell ref="A45:D45"/>
    <mergeCell ref="E45:I45"/>
    <mergeCell ref="A46:D46"/>
    <mergeCell ref="E46:I46"/>
    <mergeCell ref="B50:C50"/>
    <mergeCell ref="D50:E50"/>
    <mergeCell ref="F50:H50"/>
    <mergeCell ref="I50:J50"/>
    <mergeCell ref="D51:E51"/>
  </mergeCells>
  <printOptions/>
  <pageMargins left="0.7" right="0.7" top="0.75" bottom="0.75" header="0.3" footer="0.3"/>
  <pageSetup horizontalDpi="300" verticalDpi="300" orientation="portrait" paperSize="9" scale="97" r:id="rId1"/>
</worksheet>
</file>

<file path=xl/worksheets/sheet13.xml><?xml version="1.0" encoding="utf-8"?>
<worksheet xmlns="http://schemas.openxmlformats.org/spreadsheetml/2006/main" xmlns:r="http://schemas.openxmlformats.org/officeDocument/2006/relationships">
  <dimension ref="G20:G20"/>
  <sheetViews>
    <sheetView zoomScalePageLayoutView="0" workbookViewId="0" topLeftCell="A1">
      <selection activeCell="A1" sqref="A1"/>
    </sheetView>
  </sheetViews>
  <sheetFormatPr defaultColWidth="9.33203125" defaultRowHeight="11.25"/>
  <cols>
    <col min="1" max="16384" width="9.33203125" style="222" customWidth="1"/>
  </cols>
  <sheetData>
    <row r="20" ht="12">
      <c r="G20" s="222" t="s">
        <v>1602</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3"/>
  </sheetPr>
  <dimension ref="A1:AD1267"/>
  <sheetViews>
    <sheetView zoomScalePageLayoutView="0" workbookViewId="0" topLeftCell="A1">
      <pane ySplit="2" topLeftCell="A598" activePane="bottomLeft" state="frozen"/>
      <selection pane="topLeft" activeCell="A1" sqref="A1"/>
      <selection pane="bottomLeft" activeCell="H624" sqref="H624"/>
    </sheetView>
  </sheetViews>
  <sheetFormatPr defaultColWidth="9.33203125" defaultRowHeight="12.75" customHeight="1"/>
  <cols>
    <col min="1" max="4" width="3.83203125" style="49" customWidth="1"/>
    <col min="5" max="5" width="23.16015625" style="49" customWidth="1"/>
    <col min="6" max="6" width="21.16015625" style="318" customWidth="1"/>
    <col min="7" max="7" width="22.33203125" style="4" customWidth="1"/>
    <col min="8" max="8" width="57.66015625" style="4" customWidth="1"/>
    <col min="9" max="9" width="22.83203125" style="4" customWidth="1"/>
    <col min="10" max="18" width="18.83203125" style="4" customWidth="1"/>
    <col min="19" max="16384" width="9.33203125" style="4" customWidth="1"/>
  </cols>
  <sheetData>
    <row r="1" ht="12.75" customHeight="1">
      <c r="A1" s="49" t="s">
        <v>2042</v>
      </c>
    </row>
    <row r="2" spans="1:10" ht="12.75" customHeight="1">
      <c r="A2" s="49" t="s">
        <v>2043</v>
      </c>
      <c r="F2" s="318" t="s">
        <v>2044</v>
      </c>
      <c r="G2" s="4" t="s">
        <v>2045</v>
      </c>
      <c r="H2" s="4" t="s">
        <v>2046</v>
      </c>
      <c r="I2" s="4" t="s">
        <v>2285</v>
      </c>
      <c r="J2" s="4" t="s">
        <v>2286</v>
      </c>
    </row>
    <row r="3" ht="12.75" customHeight="1">
      <c r="F3" s="318" t="s">
        <v>3409</v>
      </c>
    </row>
    <row r="4" ht="12.75" customHeight="1">
      <c r="F4" s="318" t="s">
        <v>3409</v>
      </c>
    </row>
    <row r="5" spans="1:7" s="11" customFormat="1" ht="12.75" customHeight="1">
      <c r="A5" s="51" t="s">
        <v>2102</v>
      </c>
      <c r="B5" s="51"/>
      <c r="C5" s="51"/>
      <c r="D5" s="51"/>
      <c r="E5" s="51"/>
      <c r="F5" s="51" t="s">
        <v>3409</v>
      </c>
      <c r="G5" s="12"/>
    </row>
    <row r="6" ht="12.75" customHeight="1">
      <c r="F6" s="318" t="s">
        <v>3409</v>
      </c>
    </row>
    <row r="7" spans="1:7" s="11" customFormat="1" ht="12.75" customHeight="1">
      <c r="A7" s="52"/>
      <c r="B7" s="13" t="s">
        <v>2103</v>
      </c>
      <c r="C7" s="13"/>
      <c r="D7" s="13"/>
      <c r="E7" s="13"/>
      <c r="F7" s="13" t="s">
        <v>3409</v>
      </c>
      <c r="G7" s="12"/>
    </row>
    <row r="8" spans="1:8" s="11" customFormat="1" ht="12.75" customHeight="1">
      <c r="A8" s="52"/>
      <c r="B8" s="13" t="s">
        <v>2104</v>
      </c>
      <c r="C8" s="13"/>
      <c r="D8" s="13"/>
      <c r="E8" s="13"/>
      <c r="F8" s="13" t="s">
        <v>3409</v>
      </c>
      <c r="G8" s="12"/>
      <c r="H8" s="11" t="s">
        <v>2105</v>
      </c>
    </row>
    <row r="9" spans="1:9" s="11" customFormat="1" ht="12.75" customHeight="1">
      <c r="A9" s="52"/>
      <c r="B9" s="14"/>
      <c r="C9" s="13" t="s">
        <v>2106</v>
      </c>
      <c r="D9" s="13"/>
      <c r="E9" s="13"/>
      <c r="F9" s="13" t="s">
        <v>3586</v>
      </c>
      <c r="G9" s="14" t="s">
        <v>3409</v>
      </c>
      <c r="H9" s="12"/>
      <c r="I9" s="12"/>
    </row>
    <row r="10" spans="1:9" s="11" customFormat="1" ht="12.75" customHeight="1">
      <c r="A10" s="52"/>
      <c r="B10" s="14"/>
      <c r="C10" s="13" t="s">
        <v>1727</v>
      </c>
      <c r="D10" s="13"/>
      <c r="E10" s="13"/>
      <c r="F10" s="13" t="s">
        <v>3587</v>
      </c>
      <c r="G10" s="14" t="s">
        <v>3588</v>
      </c>
      <c r="H10" s="12"/>
      <c r="I10" s="12"/>
    </row>
    <row r="11" spans="1:9" s="11" customFormat="1" ht="12.75" customHeight="1">
      <c r="A11" s="52"/>
      <c r="B11" s="14"/>
      <c r="C11" s="13" t="s">
        <v>1008</v>
      </c>
      <c r="D11" s="13"/>
      <c r="E11" s="13"/>
      <c r="F11" s="13" t="s">
        <v>3589</v>
      </c>
      <c r="G11" s="14" t="s">
        <v>3409</v>
      </c>
      <c r="H11" s="12"/>
      <c r="I11" s="12"/>
    </row>
    <row r="12" spans="1:10" s="50" customFormat="1" ht="12.75" customHeight="1">
      <c r="A12" s="60"/>
      <c r="B12" s="49"/>
      <c r="C12" s="49" t="s">
        <v>1009</v>
      </c>
      <c r="D12" s="49"/>
      <c r="E12" s="49"/>
      <c r="F12" s="13" t="s">
        <v>3590</v>
      </c>
      <c r="G12" s="8" t="s">
        <v>3591</v>
      </c>
      <c r="H12" s="15" t="s">
        <v>2869</v>
      </c>
      <c r="I12" s="16" t="str">
        <f>IF(config_PRESENTER_ADDRESS="","",config_PRESENTER_ADDRESS)</f>
        <v>大阪府大阪市中央区農人橋2-1-10</v>
      </c>
      <c r="J12" s="11" t="s">
        <v>2870</v>
      </c>
    </row>
    <row r="13" spans="1:10" s="50" customFormat="1" ht="12.75" customHeight="1">
      <c r="A13" s="60"/>
      <c r="B13" s="49"/>
      <c r="C13" s="49"/>
      <c r="D13" s="49"/>
      <c r="E13" s="49"/>
      <c r="F13" s="13" t="s">
        <v>3592</v>
      </c>
      <c r="G13" s="8" t="s">
        <v>3593</v>
      </c>
      <c r="H13" s="15"/>
      <c r="I13" s="16"/>
      <c r="J13" s="11"/>
    </row>
    <row r="14" spans="1:10" s="50" customFormat="1" ht="12.75" customHeight="1">
      <c r="A14" s="60"/>
      <c r="B14" s="49"/>
      <c r="C14" s="49" t="s">
        <v>2473</v>
      </c>
      <c r="D14" s="49"/>
      <c r="E14" s="49"/>
      <c r="F14" s="13" t="s">
        <v>3594</v>
      </c>
      <c r="G14" s="8" t="s">
        <v>3595</v>
      </c>
      <c r="H14" s="15"/>
      <c r="I14" s="4"/>
      <c r="J14" s="11" t="s">
        <v>2871</v>
      </c>
    </row>
    <row r="15" spans="1:8" s="11" customFormat="1" ht="12.75" customHeight="1">
      <c r="A15" s="52"/>
      <c r="B15" s="13"/>
      <c r="C15" s="13" t="s">
        <v>2474</v>
      </c>
      <c r="D15" s="13"/>
      <c r="E15" s="13"/>
      <c r="F15" s="13" t="s">
        <v>3409</v>
      </c>
      <c r="G15" s="12"/>
      <c r="H15" s="12"/>
    </row>
    <row r="16" spans="1:10" s="11" customFormat="1" ht="12.75" customHeight="1">
      <c r="A16" s="52"/>
      <c r="B16" s="13"/>
      <c r="C16" s="52"/>
      <c r="D16" s="13" t="s">
        <v>2475</v>
      </c>
      <c r="E16" s="13"/>
      <c r="F16" s="13" t="s">
        <v>3596</v>
      </c>
      <c r="G16" s="14" t="s">
        <v>3597</v>
      </c>
      <c r="H16" s="12"/>
      <c r="I16" s="12"/>
      <c r="J16" s="11" t="s">
        <v>2871</v>
      </c>
    </row>
    <row r="17" spans="1:10" s="11" customFormat="1" ht="12.75" customHeight="1">
      <c r="A17" s="52"/>
      <c r="B17" s="13"/>
      <c r="C17" s="52"/>
      <c r="D17" s="13" t="s">
        <v>2476</v>
      </c>
      <c r="E17" s="13"/>
      <c r="F17" s="13" t="s">
        <v>3598</v>
      </c>
      <c r="G17" s="14" t="s">
        <v>3599</v>
      </c>
      <c r="H17" s="12"/>
      <c r="I17" s="12"/>
      <c r="J17" s="11" t="s">
        <v>2870</v>
      </c>
    </row>
    <row r="18" spans="1:10" s="11" customFormat="1" ht="12.75" customHeight="1">
      <c r="A18" s="52"/>
      <c r="B18" s="13"/>
      <c r="C18" s="52"/>
      <c r="D18" s="13" t="s">
        <v>2477</v>
      </c>
      <c r="E18" s="13"/>
      <c r="F18" s="13" t="s">
        <v>3600</v>
      </c>
      <c r="G18" s="14" t="s">
        <v>3601</v>
      </c>
      <c r="H18" s="12"/>
      <c r="I18" s="12"/>
      <c r="J18" s="11" t="s">
        <v>2872</v>
      </c>
    </row>
    <row r="19" spans="1:10" s="11" customFormat="1" ht="12.75" customHeight="1">
      <c r="A19" s="52"/>
      <c r="B19" s="13"/>
      <c r="C19" s="52"/>
      <c r="D19" s="13" t="s">
        <v>2478</v>
      </c>
      <c r="E19" s="13"/>
      <c r="F19" s="13" t="s">
        <v>3602</v>
      </c>
      <c r="G19" s="14" t="s">
        <v>3603</v>
      </c>
      <c r="H19" s="13"/>
      <c r="I19" s="12"/>
      <c r="J19" s="11" t="s">
        <v>2871</v>
      </c>
    </row>
    <row r="20" spans="1:10" s="11" customFormat="1" ht="12.75" customHeight="1">
      <c r="A20" s="52"/>
      <c r="B20" s="13"/>
      <c r="C20" s="13" t="s">
        <v>2479</v>
      </c>
      <c r="D20" s="52"/>
      <c r="E20" s="52"/>
      <c r="F20" s="13" t="s">
        <v>3604</v>
      </c>
      <c r="G20" s="14" t="s">
        <v>3605</v>
      </c>
      <c r="H20" s="12"/>
      <c r="I20" s="12"/>
      <c r="J20" s="11" t="s">
        <v>2871</v>
      </c>
    </row>
    <row r="21" spans="1:10" s="50" customFormat="1" ht="12.75" customHeight="1">
      <c r="A21" s="60"/>
      <c r="B21" s="49"/>
      <c r="C21" s="49" t="s">
        <v>2480</v>
      </c>
      <c r="D21" s="49"/>
      <c r="E21" s="49"/>
      <c r="F21" s="49" t="s">
        <v>3606</v>
      </c>
      <c r="G21" s="8" t="s">
        <v>3605</v>
      </c>
      <c r="H21" s="15"/>
      <c r="I21" s="4"/>
      <c r="J21" s="11" t="s">
        <v>1004</v>
      </c>
    </row>
    <row r="22" spans="1:9" s="11" customFormat="1" ht="12.75" customHeight="1">
      <c r="A22" s="52"/>
      <c r="B22" s="13"/>
      <c r="C22" s="13"/>
      <c r="D22" s="13"/>
      <c r="E22" s="13"/>
      <c r="F22" s="13" t="s">
        <v>3409</v>
      </c>
      <c r="G22" s="12"/>
      <c r="H22" s="12"/>
      <c r="I22" s="12"/>
    </row>
    <row r="23" spans="1:9" s="11" customFormat="1" ht="12.75" customHeight="1">
      <c r="A23" s="52"/>
      <c r="B23" s="13" t="s">
        <v>2481</v>
      </c>
      <c r="C23" s="13"/>
      <c r="D23" s="13"/>
      <c r="E23" s="13"/>
      <c r="F23" s="13" t="s">
        <v>3409</v>
      </c>
      <c r="G23" s="12"/>
      <c r="H23" s="12"/>
      <c r="I23" s="12"/>
    </row>
    <row r="24" spans="1:9" s="11" customFormat="1" ht="12.75" customHeight="1">
      <c r="A24" s="52"/>
      <c r="B24" s="13" t="s">
        <v>2482</v>
      </c>
      <c r="C24" s="13"/>
      <c r="D24" s="13"/>
      <c r="E24" s="13"/>
      <c r="F24" s="13" t="s">
        <v>3409</v>
      </c>
      <c r="G24" s="12"/>
      <c r="H24" s="12"/>
      <c r="I24" s="12"/>
    </row>
    <row r="25" spans="1:9" s="11" customFormat="1" ht="12.75" customHeight="1">
      <c r="A25" s="52"/>
      <c r="B25" s="13"/>
      <c r="C25" s="13" t="s">
        <v>2483</v>
      </c>
      <c r="D25" s="13"/>
      <c r="E25" s="13"/>
      <c r="F25" s="13" t="s">
        <v>3607</v>
      </c>
      <c r="G25" s="14" t="s">
        <v>3608</v>
      </c>
      <c r="H25" s="12"/>
      <c r="I25" s="12"/>
    </row>
    <row r="26" spans="1:9" s="11" customFormat="1" ht="12.75" customHeight="1">
      <c r="A26" s="52"/>
      <c r="B26" s="13"/>
      <c r="C26" s="13" t="s">
        <v>2476</v>
      </c>
      <c r="D26" s="13"/>
      <c r="E26" s="13"/>
      <c r="F26" s="13" t="s">
        <v>3609</v>
      </c>
      <c r="G26" s="14" t="s">
        <v>3610</v>
      </c>
      <c r="H26" s="12" t="s">
        <v>2277</v>
      </c>
      <c r="I26" s="18" t="str">
        <f>IF(office_OFFICE_NAME="","",office_OFFICE_NAME)</f>
        <v>本社</v>
      </c>
    </row>
    <row r="27" spans="1:9" s="11" customFormat="1" ht="12.75" customHeight="1">
      <c r="A27" s="52"/>
      <c r="B27" s="13"/>
      <c r="C27" s="13" t="s">
        <v>2278</v>
      </c>
      <c r="D27" s="13"/>
      <c r="E27" s="13"/>
      <c r="F27" s="13" t="s">
        <v>3611</v>
      </c>
      <c r="G27" s="14" t="s">
        <v>3612</v>
      </c>
      <c r="H27" s="12"/>
      <c r="I27" s="12"/>
    </row>
    <row r="28" spans="1:9" s="11" customFormat="1" ht="12.75" customHeight="1">
      <c r="A28" s="52"/>
      <c r="B28" s="13"/>
      <c r="C28" s="13" t="s">
        <v>2279</v>
      </c>
      <c r="D28" s="13"/>
      <c r="E28" s="13"/>
      <c r="F28" s="13" t="s">
        <v>3613</v>
      </c>
      <c r="G28" s="14" t="s">
        <v>3591</v>
      </c>
      <c r="H28" s="12" t="s">
        <v>2280</v>
      </c>
      <c r="I28" s="54" t="str">
        <f>IF(office_ADDRESS="","",office_ADDRESS)</f>
        <v>大阪府大阪市中央区農人橋2-1-10</v>
      </c>
    </row>
    <row r="29" spans="1:9" s="11" customFormat="1" ht="12.75" customHeight="1">
      <c r="A29" s="52"/>
      <c r="B29" s="13"/>
      <c r="C29" s="13" t="s">
        <v>709</v>
      </c>
      <c r="D29" s="13"/>
      <c r="E29" s="13"/>
      <c r="F29" s="13" t="s">
        <v>3614</v>
      </c>
      <c r="G29" s="14" t="s">
        <v>3615</v>
      </c>
      <c r="H29" s="12"/>
      <c r="I29" s="12"/>
    </row>
    <row r="30" spans="1:9" s="11" customFormat="1" ht="12.75" customHeight="1">
      <c r="A30" s="52"/>
      <c r="B30" s="13"/>
      <c r="C30" s="13"/>
      <c r="D30" s="86" t="s">
        <v>3257</v>
      </c>
      <c r="E30" s="86"/>
      <c r="F30" s="52" t="s">
        <v>3409</v>
      </c>
      <c r="H30" s="12" t="s">
        <v>3258</v>
      </c>
      <c r="I30" s="56" t="str">
        <f>IF(office_ADDRESS="","",office_ADDRESS&amp;"  "&amp;office_ADDRESS2)</f>
        <v>大阪府大阪市中央区農人橋2-1-10  大阪建築会館7階</v>
      </c>
    </row>
    <row r="31" spans="1:10" s="11" customFormat="1" ht="12.75" customHeight="1">
      <c r="A31" s="52"/>
      <c r="B31" s="13"/>
      <c r="C31" s="13" t="s">
        <v>3259</v>
      </c>
      <c r="D31" s="13"/>
      <c r="E31" s="13"/>
      <c r="F31" s="13" t="s">
        <v>3616</v>
      </c>
      <c r="G31" s="14" t="s">
        <v>3595</v>
      </c>
      <c r="H31" s="11" t="s">
        <v>3260</v>
      </c>
      <c r="I31" s="57" t="str">
        <f>IF(office_TEL="","",office_TEL)</f>
        <v>06-6942-7720</v>
      </c>
      <c r="J31" s="11" t="s">
        <v>3261</v>
      </c>
    </row>
    <row r="32" spans="1:10" s="11" customFormat="1" ht="12.75" customHeight="1">
      <c r="A32" s="52"/>
      <c r="B32" s="13"/>
      <c r="C32" s="13" t="s">
        <v>3262</v>
      </c>
      <c r="D32" s="13"/>
      <c r="E32" s="13"/>
      <c r="F32" s="13" t="s">
        <v>3617</v>
      </c>
      <c r="G32" s="14" t="s">
        <v>3618</v>
      </c>
      <c r="H32" s="11" t="s">
        <v>3263</v>
      </c>
      <c r="I32" s="57" t="str">
        <f>IF(office_FAX="","",office_FAX)</f>
        <v>06-6942-7718</v>
      </c>
      <c r="J32" s="11" t="s">
        <v>3264</v>
      </c>
    </row>
    <row r="33" spans="1:8" s="11" customFormat="1" ht="12.75" customHeight="1">
      <c r="A33" s="52"/>
      <c r="B33" s="13"/>
      <c r="C33" s="13" t="s">
        <v>2474</v>
      </c>
      <c r="D33" s="13"/>
      <c r="E33" s="13"/>
      <c r="F33" s="13" t="s">
        <v>3409</v>
      </c>
      <c r="G33" s="12"/>
      <c r="H33" s="12"/>
    </row>
    <row r="34" spans="1:10" s="11" customFormat="1" ht="12.75" customHeight="1">
      <c r="A34" s="52"/>
      <c r="B34" s="13"/>
      <c r="C34" s="52"/>
      <c r="D34" s="13" t="s">
        <v>2475</v>
      </c>
      <c r="E34" s="13"/>
      <c r="F34" s="13" t="s">
        <v>3619</v>
      </c>
      <c r="G34" s="14" t="s">
        <v>3409</v>
      </c>
      <c r="H34" s="12"/>
      <c r="J34" s="11" t="s">
        <v>1004</v>
      </c>
    </row>
    <row r="35" spans="1:10" s="11" customFormat="1" ht="12.75" customHeight="1">
      <c r="A35" s="52"/>
      <c r="B35" s="13"/>
      <c r="C35" s="52"/>
      <c r="D35" s="13" t="s">
        <v>2476</v>
      </c>
      <c r="E35" s="13"/>
      <c r="F35" s="13" t="s">
        <v>3620</v>
      </c>
      <c r="G35" s="14" t="s">
        <v>3409</v>
      </c>
      <c r="H35" s="12"/>
      <c r="J35" s="11" t="s">
        <v>2870</v>
      </c>
    </row>
    <row r="36" spans="1:10" s="11" customFormat="1" ht="12.75" customHeight="1">
      <c r="A36" s="52"/>
      <c r="B36" s="13"/>
      <c r="C36" s="52"/>
      <c r="D36" s="13" t="s">
        <v>2477</v>
      </c>
      <c r="E36" s="13"/>
      <c r="F36" s="13" t="s">
        <v>3621</v>
      </c>
      <c r="G36" s="14" t="s">
        <v>3409</v>
      </c>
      <c r="H36" s="12"/>
      <c r="J36" s="11" t="s">
        <v>2872</v>
      </c>
    </row>
    <row r="37" spans="1:10" s="11" customFormat="1" ht="12.75" customHeight="1">
      <c r="A37" s="52"/>
      <c r="B37" s="13"/>
      <c r="C37" s="52"/>
      <c r="D37" s="13" t="s">
        <v>2478</v>
      </c>
      <c r="E37" s="13"/>
      <c r="F37" s="13" t="s">
        <v>3622</v>
      </c>
      <c r="G37" s="14" t="s">
        <v>3409</v>
      </c>
      <c r="H37" s="12"/>
      <c r="J37" s="11" t="s">
        <v>2871</v>
      </c>
    </row>
    <row r="38" spans="1:9" s="11" customFormat="1" ht="12.75" customHeight="1">
      <c r="A38" s="13"/>
      <c r="B38" s="13"/>
      <c r="C38" s="13"/>
      <c r="D38" s="13"/>
      <c r="E38" s="13"/>
      <c r="F38" s="13" t="s">
        <v>3409</v>
      </c>
      <c r="G38" s="12"/>
      <c r="H38" s="12"/>
      <c r="I38" s="12"/>
    </row>
    <row r="39" spans="1:9" s="11" customFormat="1" ht="15.75" customHeight="1">
      <c r="A39" s="52"/>
      <c r="B39" s="13" t="s">
        <v>3265</v>
      </c>
      <c r="C39" s="13"/>
      <c r="D39" s="13"/>
      <c r="E39" s="13"/>
      <c r="F39" s="13" t="s">
        <v>3409</v>
      </c>
      <c r="G39" s="12"/>
      <c r="H39" s="12"/>
      <c r="I39" s="12"/>
    </row>
    <row r="40" spans="1:10" s="11" customFormat="1" ht="15.75" customHeight="1">
      <c r="A40" s="52"/>
      <c r="B40" s="13" t="s">
        <v>2281</v>
      </c>
      <c r="C40" s="13"/>
      <c r="D40" s="13"/>
      <c r="E40" s="13"/>
      <c r="F40" s="13" t="s">
        <v>3409</v>
      </c>
      <c r="G40" s="12"/>
      <c r="H40" s="12"/>
      <c r="I40" s="12"/>
      <c r="J40" s="11" t="s">
        <v>3266</v>
      </c>
    </row>
    <row r="41" spans="1:9" s="11" customFormat="1" ht="12.75" customHeight="1">
      <c r="A41" s="52"/>
      <c r="B41" s="13" t="s">
        <v>3267</v>
      </c>
      <c r="C41" s="13"/>
      <c r="D41" s="13"/>
      <c r="E41" s="13"/>
      <c r="F41" s="13" t="s">
        <v>3623</v>
      </c>
      <c r="G41" s="14" t="s">
        <v>3409</v>
      </c>
      <c r="H41" s="11" t="s">
        <v>2036</v>
      </c>
      <c r="I41" s="58">
        <f>IF(shinsei_PROVO_TANTO_USER_ID="","",shinsei_PROVO_TANTO_USER_ID)</f>
      </c>
    </row>
    <row r="42" spans="1:9" s="11" customFormat="1" ht="12.75" customHeight="1">
      <c r="A42" s="52"/>
      <c r="B42" s="13" t="s">
        <v>3268</v>
      </c>
      <c r="C42" s="13"/>
      <c r="D42" s="13"/>
      <c r="E42" s="13"/>
      <c r="F42" s="13" t="s">
        <v>3269</v>
      </c>
      <c r="G42" s="14" t="s">
        <v>3624</v>
      </c>
      <c r="H42" s="12" t="s">
        <v>2037</v>
      </c>
      <c r="I42" s="18" t="str">
        <f>IF(shinsei_HIKIUKE_TANTO="","",shinsei_HIKIUKE_TANTO)</f>
        <v>東　五雄</v>
      </c>
    </row>
    <row r="43" spans="1:9" s="11" customFormat="1" ht="12.75" customHeight="1">
      <c r="A43" s="13" t="s">
        <v>3270</v>
      </c>
      <c r="B43" s="13"/>
      <c r="C43" s="13"/>
      <c r="D43" s="13"/>
      <c r="E43" s="13"/>
      <c r="F43" s="13" t="s">
        <v>3625</v>
      </c>
      <c r="G43" s="14" t="s">
        <v>3409</v>
      </c>
      <c r="H43" s="12" t="s">
        <v>3293</v>
      </c>
      <c r="I43" s="18">
        <f>IF(shinsei_STR_1ST_USER_ID="","",shinsei_STR_1ST_USER_ID)</f>
      </c>
    </row>
    <row r="44" spans="1:9" s="11" customFormat="1" ht="12.75" customHeight="1">
      <c r="A44" s="13" t="s">
        <v>1778</v>
      </c>
      <c r="B44" s="13"/>
      <c r="C44" s="13"/>
      <c r="D44" s="13"/>
      <c r="E44" s="13"/>
      <c r="F44" s="13" t="s">
        <v>3626</v>
      </c>
      <c r="G44" s="14" t="s">
        <v>3409</v>
      </c>
      <c r="H44" s="12" t="s">
        <v>735</v>
      </c>
      <c r="I44" s="18">
        <f>IF(shinsei_STR_2ND_USER_ID="","",shinsei_STR_2ND_USER_ID)</f>
      </c>
    </row>
    <row r="45" spans="1:10" s="11" customFormat="1" ht="12.75" customHeight="1">
      <c r="A45" s="52"/>
      <c r="B45" s="13" t="s">
        <v>734</v>
      </c>
      <c r="C45" s="13"/>
      <c r="D45" s="13"/>
      <c r="E45" s="13"/>
      <c r="F45" s="13" t="s">
        <v>3409</v>
      </c>
      <c r="G45" s="12"/>
      <c r="H45" s="12"/>
      <c r="I45" s="12"/>
      <c r="J45" s="11" t="s">
        <v>1779</v>
      </c>
    </row>
    <row r="46" spans="1:9" s="11" customFormat="1" ht="12.75" customHeight="1">
      <c r="A46" s="52"/>
      <c r="B46" s="13" t="s">
        <v>2624</v>
      </c>
      <c r="C46" s="13"/>
      <c r="D46" s="13"/>
      <c r="E46" s="13"/>
      <c r="F46" s="13" t="s">
        <v>3627</v>
      </c>
      <c r="G46" s="17"/>
      <c r="H46" s="12" t="s">
        <v>1780</v>
      </c>
      <c r="I46" s="17">
        <f>IF(shinseijudgehist_accept_isyou1_TANTO_USER_ID="","",shinseijudgehist_accept_isyou1_TANTO_USER_ID)</f>
      </c>
    </row>
    <row r="47" spans="1:9" s="11" customFormat="1" ht="12.75" customHeight="1">
      <c r="A47" s="52"/>
      <c r="B47" s="13" t="s">
        <v>1781</v>
      </c>
      <c r="C47" s="13"/>
      <c r="D47" s="13"/>
      <c r="E47" s="13"/>
      <c r="F47" s="13" t="s">
        <v>3628</v>
      </c>
      <c r="G47" s="17"/>
      <c r="H47" s="12" t="s">
        <v>1782</v>
      </c>
      <c r="I47" s="17">
        <f>IF(shinseijudgehist_accept_isyou2_TANTO_USER_ID="","",shinseijudgehist_accept_isyou2_TANTO_USER_ID)</f>
      </c>
    </row>
    <row r="48" spans="1:9" s="11" customFormat="1" ht="12.75" customHeight="1">
      <c r="A48" s="52"/>
      <c r="B48" s="13" t="s">
        <v>1783</v>
      </c>
      <c r="C48" s="13"/>
      <c r="D48" s="13"/>
      <c r="E48" s="13"/>
      <c r="F48" s="13" t="s">
        <v>3629</v>
      </c>
      <c r="G48" s="17"/>
      <c r="H48" s="12" t="s">
        <v>1784</v>
      </c>
      <c r="I48" s="17">
        <f>IF(shinseijudgehist_accept_isyou3_TANTO_USER_ID="","",shinseijudgehist_accept_isyou3_TANTO_USER_ID)</f>
      </c>
    </row>
    <row r="49" spans="1:10" s="11" customFormat="1" ht="12.75" customHeight="1">
      <c r="A49" s="52"/>
      <c r="B49" s="13" t="s">
        <v>3270</v>
      </c>
      <c r="C49" s="13"/>
      <c r="D49" s="13"/>
      <c r="E49" s="13"/>
      <c r="F49" s="13" t="s">
        <v>3630</v>
      </c>
      <c r="G49" s="14" t="s">
        <v>3409</v>
      </c>
      <c r="H49" s="12" t="s">
        <v>700</v>
      </c>
      <c r="I49" s="18">
        <f>IF(shinseijudgehist_accept_kouzou1_TANTO_USER_ID="","",shinseijudgehist_accept_kouzou1_TANTO_USER_ID)</f>
      </c>
      <c r="J49" s="11" t="s">
        <v>1004</v>
      </c>
    </row>
    <row r="50" spans="1:10" s="11" customFormat="1" ht="12.75" customHeight="1">
      <c r="A50" s="52"/>
      <c r="B50" s="13" t="s">
        <v>1778</v>
      </c>
      <c r="C50" s="13"/>
      <c r="D50" s="13"/>
      <c r="E50" s="13"/>
      <c r="F50" s="13" t="s">
        <v>3631</v>
      </c>
      <c r="G50" s="14" t="s">
        <v>3409</v>
      </c>
      <c r="H50" s="12" t="s">
        <v>735</v>
      </c>
      <c r="I50" s="18">
        <f>IF(shinseijudgehist_accept_kouzou2_TANTO_USER_ID="","",shinseijudgehist_accept_kouzou2_TANTO_USER_ID)</f>
      </c>
      <c r="J50" s="11" t="s">
        <v>2870</v>
      </c>
    </row>
    <row r="51" spans="1:9" s="11" customFormat="1" ht="12.75" customHeight="1">
      <c r="A51" s="52"/>
      <c r="B51" s="13" t="s">
        <v>701</v>
      </c>
      <c r="C51" s="13"/>
      <c r="D51" s="13"/>
      <c r="E51" s="13"/>
      <c r="F51" s="13" t="s">
        <v>3632</v>
      </c>
      <c r="G51" s="14" t="s">
        <v>3409</v>
      </c>
      <c r="H51" s="12" t="s">
        <v>2722</v>
      </c>
      <c r="I51" s="18">
        <f>IF(shinseijudgehist_accept_kouzou3_TANTO_USER_ID="","",shinseijudgehist_accept_kouzou3_TANTO_USER_ID)</f>
      </c>
    </row>
    <row r="52" spans="1:9" s="11" customFormat="1" ht="12.75" customHeight="1">
      <c r="A52" s="52"/>
      <c r="B52" s="13" t="s">
        <v>702</v>
      </c>
      <c r="C52" s="13"/>
      <c r="D52" s="13"/>
      <c r="E52" s="13"/>
      <c r="F52" s="13" t="s">
        <v>3633</v>
      </c>
      <c r="G52" s="14" t="s">
        <v>3409</v>
      </c>
      <c r="H52" s="12" t="s">
        <v>2723</v>
      </c>
      <c r="I52" s="18">
        <f>IF(shinseijudgehist_accept_setubi1_TANTO_USER_ID="","",shinseijudgehist_accept_setubi1_TANTO_USER_ID)</f>
      </c>
    </row>
    <row r="53" spans="1:9" s="11" customFormat="1" ht="12.75" customHeight="1">
      <c r="A53" s="52"/>
      <c r="B53" s="13" t="s">
        <v>703</v>
      </c>
      <c r="C53" s="13"/>
      <c r="D53" s="13"/>
      <c r="E53" s="13"/>
      <c r="F53" s="13" t="s">
        <v>3634</v>
      </c>
      <c r="G53" s="14" t="s">
        <v>3409</v>
      </c>
      <c r="H53" s="12" t="s">
        <v>2724</v>
      </c>
      <c r="I53" s="18">
        <f>IF(shinseijudgehist_accept_setubi2_TANTO_USER_ID="","",shinseijudgehist_accept_setubi2_TANTO_USER_ID)</f>
      </c>
    </row>
    <row r="54" spans="1:9" s="11" customFormat="1" ht="12.75" customHeight="1">
      <c r="A54" s="52"/>
      <c r="B54" s="13" t="s">
        <v>704</v>
      </c>
      <c r="C54" s="13"/>
      <c r="D54" s="13"/>
      <c r="E54" s="13"/>
      <c r="F54" s="13" t="s">
        <v>3635</v>
      </c>
      <c r="G54" s="14" t="s">
        <v>3409</v>
      </c>
      <c r="H54" s="12" t="s">
        <v>2725</v>
      </c>
      <c r="I54" s="18">
        <f>IF(shinseijudgehist_accept_setubi3_TANTO_USER_ID="","",shinseijudgehist_accept_setubi3_TANTO_USER_ID)</f>
      </c>
    </row>
    <row r="55" spans="1:8" s="11" customFormat="1" ht="12.75" customHeight="1">
      <c r="A55" s="13" t="s">
        <v>1276</v>
      </c>
      <c r="B55" s="13"/>
      <c r="C55" s="13"/>
      <c r="D55" s="13"/>
      <c r="E55" s="13"/>
      <c r="F55" s="13" t="s">
        <v>3409</v>
      </c>
      <c r="G55" s="12"/>
      <c r="H55" s="12"/>
    </row>
    <row r="56" spans="1:8" s="11" customFormat="1" ht="12.75" customHeight="1">
      <c r="A56" s="13"/>
      <c r="B56" s="13" t="s">
        <v>1275</v>
      </c>
      <c r="C56" s="13"/>
      <c r="D56" s="13"/>
      <c r="E56" s="13"/>
      <c r="F56" s="13" t="s">
        <v>3636</v>
      </c>
      <c r="G56" s="14" t="s">
        <v>3409</v>
      </c>
      <c r="H56" s="12"/>
    </row>
    <row r="57" spans="1:8" s="11" customFormat="1" ht="12.75" customHeight="1">
      <c r="A57" s="13"/>
      <c r="B57" s="13" t="s">
        <v>3270</v>
      </c>
      <c r="C57" s="13"/>
      <c r="D57" s="13"/>
      <c r="E57" s="13"/>
      <c r="F57" s="13" t="s">
        <v>3637</v>
      </c>
      <c r="G57" s="14" t="s">
        <v>3409</v>
      </c>
      <c r="H57" s="12"/>
    </row>
    <row r="58" spans="1:8" s="11" customFormat="1" ht="12.75" customHeight="1">
      <c r="A58" s="13"/>
      <c r="B58" s="13"/>
      <c r="C58" s="13"/>
      <c r="D58" s="13"/>
      <c r="E58" s="13"/>
      <c r="F58" s="13" t="s">
        <v>3409</v>
      </c>
      <c r="G58" s="12"/>
      <c r="H58" s="12"/>
    </row>
    <row r="59" spans="1:8" s="11" customFormat="1" ht="12.75" customHeight="1">
      <c r="A59" s="13"/>
      <c r="B59" s="13"/>
      <c r="C59" s="13"/>
      <c r="D59" s="13"/>
      <c r="E59" s="13"/>
      <c r="F59" s="13" t="s">
        <v>3409</v>
      </c>
      <c r="G59" s="12"/>
      <c r="H59" s="12"/>
    </row>
    <row r="60" spans="1:8" s="11" customFormat="1" ht="15.75" customHeight="1">
      <c r="A60" s="51" t="s">
        <v>705</v>
      </c>
      <c r="B60" s="51"/>
      <c r="C60" s="51"/>
      <c r="D60" s="51"/>
      <c r="E60" s="51"/>
      <c r="F60" s="51" t="s">
        <v>3409</v>
      </c>
      <c r="G60" s="12"/>
      <c r="H60" s="12"/>
    </row>
    <row r="61" spans="1:9" s="11" customFormat="1" ht="12.75" customHeight="1">
      <c r="A61" s="13"/>
      <c r="B61" s="13"/>
      <c r="C61" s="13"/>
      <c r="D61" s="13"/>
      <c r="E61" s="13"/>
      <c r="F61" s="13" t="s">
        <v>3409</v>
      </c>
      <c r="G61" s="12"/>
      <c r="H61" s="12"/>
      <c r="I61" s="12"/>
    </row>
    <row r="62" spans="1:9" s="11" customFormat="1" ht="12.75" customHeight="1">
      <c r="A62" s="52"/>
      <c r="B62" s="13" t="s">
        <v>2726</v>
      </c>
      <c r="C62" s="13"/>
      <c r="D62" s="13"/>
      <c r="E62" s="13"/>
      <c r="F62" s="13" t="s">
        <v>3638</v>
      </c>
      <c r="G62" s="14" t="s">
        <v>3409</v>
      </c>
      <c r="H62" s="12"/>
      <c r="I62" s="12"/>
    </row>
    <row r="63" spans="1:10" s="11" customFormat="1" ht="12.75" customHeight="1">
      <c r="A63" s="52"/>
      <c r="B63" s="13" t="s">
        <v>14</v>
      </c>
      <c r="C63" s="13"/>
      <c r="D63" s="13"/>
      <c r="E63" s="13"/>
      <c r="F63" s="13" t="s">
        <v>3639</v>
      </c>
      <c r="G63" s="14" t="s">
        <v>3409</v>
      </c>
      <c r="H63" s="12"/>
      <c r="I63" s="12"/>
      <c r="J63" s="11" t="s">
        <v>3032</v>
      </c>
    </row>
    <row r="64" spans="1:9" s="11" customFormat="1" ht="12.75" customHeight="1">
      <c r="A64" s="52"/>
      <c r="B64" s="13" t="s">
        <v>3033</v>
      </c>
      <c r="C64" s="13"/>
      <c r="D64" s="13"/>
      <c r="E64" s="13"/>
      <c r="F64" s="13" t="s">
        <v>3409</v>
      </c>
      <c r="G64" s="12"/>
      <c r="H64" s="12"/>
      <c r="I64" s="12"/>
    </row>
    <row r="65" spans="1:9" s="11" customFormat="1" ht="12.75" customHeight="1">
      <c r="A65" s="52"/>
      <c r="B65" s="13"/>
      <c r="C65" s="13" t="s">
        <v>3034</v>
      </c>
      <c r="D65" s="13"/>
      <c r="E65" s="13"/>
      <c r="F65" s="13" t="s">
        <v>3640</v>
      </c>
      <c r="G65" s="14" t="s">
        <v>3409</v>
      </c>
      <c r="H65" s="12"/>
      <c r="I65" s="12"/>
    </row>
    <row r="66" spans="1:9" s="11" customFormat="1" ht="12.75" customHeight="1">
      <c r="A66" s="52"/>
      <c r="B66" s="13"/>
      <c r="C66" s="13" t="s">
        <v>15</v>
      </c>
      <c r="D66" s="13"/>
      <c r="E66" s="13"/>
      <c r="F66" s="13" t="s">
        <v>3641</v>
      </c>
      <c r="G66" s="14" t="s">
        <v>3409</v>
      </c>
      <c r="H66" s="12"/>
      <c r="I66" s="12"/>
    </row>
    <row r="67" spans="1:9" s="11" customFormat="1" ht="12.75" customHeight="1">
      <c r="A67" s="13"/>
      <c r="B67" s="13"/>
      <c r="C67" s="13"/>
      <c r="D67" s="13"/>
      <c r="E67" s="13"/>
      <c r="F67" s="13" t="s">
        <v>3409</v>
      </c>
      <c r="G67" s="12"/>
      <c r="H67" s="12"/>
      <c r="I67" s="12"/>
    </row>
    <row r="68" spans="1:9" s="11" customFormat="1" ht="12.75" customHeight="1">
      <c r="A68" s="13"/>
      <c r="B68" s="13"/>
      <c r="C68" s="13"/>
      <c r="D68" s="13"/>
      <c r="E68" s="13"/>
      <c r="F68" s="13" t="s">
        <v>3409</v>
      </c>
      <c r="G68" s="12"/>
      <c r="H68" s="12"/>
      <c r="I68" s="12"/>
    </row>
    <row r="69" spans="1:9" s="50" customFormat="1" ht="12.75" customHeight="1">
      <c r="A69" s="59" t="s">
        <v>16</v>
      </c>
      <c r="B69" s="59"/>
      <c r="C69" s="59"/>
      <c r="D69" s="59"/>
      <c r="E69" s="59"/>
      <c r="F69" s="59" t="s">
        <v>3409</v>
      </c>
      <c r="G69" s="4"/>
      <c r="H69" s="15"/>
      <c r="I69" s="4"/>
    </row>
    <row r="70" spans="1:9" s="11" customFormat="1" ht="12.75" customHeight="1">
      <c r="A70" s="13"/>
      <c r="B70" s="13"/>
      <c r="C70" s="13"/>
      <c r="D70" s="13"/>
      <c r="E70" s="13"/>
      <c r="F70" s="13" t="s">
        <v>3409</v>
      </c>
      <c r="G70" s="12"/>
      <c r="H70" s="12"/>
      <c r="I70" s="12"/>
    </row>
    <row r="71" spans="1:11" s="61" customFormat="1" ht="12.75" customHeight="1">
      <c r="A71" s="60"/>
      <c r="B71" s="60" t="s">
        <v>17</v>
      </c>
      <c r="C71" s="60"/>
      <c r="D71" s="60"/>
      <c r="E71" s="60"/>
      <c r="F71" s="60" t="s">
        <v>3409</v>
      </c>
      <c r="H71" s="61" t="s">
        <v>18</v>
      </c>
      <c r="I71" s="61" t="s">
        <v>3035</v>
      </c>
      <c r="J71" s="20" t="s">
        <v>143</v>
      </c>
      <c r="K71" s="61" t="s">
        <v>144</v>
      </c>
    </row>
    <row r="72" spans="1:10" s="11" customFormat="1" ht="12.75" customHeight="1">
      <c r="A72" s="52"/>
      <c r="B72" s="13" t="s">
        <v>145</v>
      </c>
      <c r="C72" s="13"/>
      <c r="D72" s="13"/>
      <c r="E72" s="13"/>
      <c r="F72" s="13" t="s">
        <v>146</v>
      </c>
      <c r="G72" s="14" t="s">
        <v>3642</v>
      </c>
      <c r="H72" s="12" t="s">
        <v>3036</v>
      </c>
      <c r="I72" s="58" t="str">
        <f>IF(shinsei_TARGET_KIND="","",shinsei_TARGET_KIND)</f>
        <v>建築物</v>
      </c>
      <c r="J72" s="11" t="s">
        <v>147</v>
      </c>
    </row>
    <row r="73" spans="1:10" s="11" customFormat="1" ht="12.75" customHeight="1">
      <c r="A73" s="52"/>
      <c r="B73" s="13" t="s">
        <v>148</v>
      </c>
      <c r="C73" s="13"/>
      <c r="D73" s="13"/>
      <c r="E73" s="13"/>
      <c r="F73" s="13" t="s">
        <v>35</v>
      </c>
      <c r="G73" s="14" t="s">
        <v>3643</v>
      </c>
      <c r="H73" s="12" t="s">
        <v>3037</v>
      </c>
      <c r="I73" s="58" t="str">
        <f>IF(shinsei_INSPECTION_TYPE="","",shinsei_INSPECTION_TYPE)</f>
        <v>確認</v>
      </c>
      <c r="J73" s="11" t="s">
        <v>36</v>
      </c>
    </row>
    <row r="74" spans="1:10" s="11" customFormat="1" ht="12.75" customHeight="1">
      <c r="A74" s="52"/>
      <c r="B74" s="13"/>
      <c r="C74" s="13"/>
      <c r="D74" s="13"/>
      <c r="E74" s="13"/>
      <c r="F74" s="13" t="s">
        <v>3409</v>
      </c>
      <c r="G74" s="4"/>
      <c r="H74" s="12" t="s">
        <v>37</v>
      </c>
      <c r="I74" s="62" t="str">
        <f>IF(shinsei_INSPECTION_TYPE="","",IF(OR(shinsei_INSPECTION_TYPE="確認",shinsei_INSPECTION_TYPE="計画変更"),"確認申請",IF(OR(shinsei_INSPECTION_TYPE="中間検査",shinsei_INSPECTION_TYPE="完了検査"),"検査申請","")))</f>
        <v>確認申請</v>
      </c>
      <c r="J74" s="11" t="s">
        <v>38</v>
      </c>
    </row>
    <row r="75" spans="1:10" s="11" customFormat="1" ht="12.75" customHeight="1">
      <c r="A75" s="52"/>
      <c r="B75" s="13"/>
      <c r="C75" s="13"/>
      <c r="D75" s="13"/>
      <c r="E75" s="13"/>
      <c r="F75" s="13" t="s">
        <v>3409</v>
      </c>
      <c r="G75" s="4"/>
      <c r="H75" s="11" t="s">
        <v>39</v>
      </c>
      <c r="I75" s="56" t="str">
        <f>IF(shinsei_INSPECTION_TYPE="","",IF(OR(shinsei_INSPECTION_TYPE="確認",shinsei_INSPECTION_TYPE="計画変更"),"確認申請",shinsei_INSPECTION_TYPE))</f>
        <v>確認申請</v>
      </c>
      <c r="J75" s="11" t="s">
        <v>40</v>
      </c>
    </row>
    <row r="76" spans="1:10" s="11" customFormat="1" ht="12.75" customHeight="1">
      <c r="A76" s="52"/>
      <c r="B76" s="13"/>
      <c r="C76" s="13"/>
      <c r="D76" s="13"/>
      <c r="E76" s="13"/>
      <c r="F76" s="13" t="s">
        <v>3409</v>
      </c>
      <c r="G76" s="4"/>
      <c r="H76" s="11" t="s">
        <v>3038</v>
      </c>
      <c r="I76" s="56" t="str">
        <f>IF(shinsei_INSPECTION_TYPE="","",IF(OR(shinsei_INSPECTION_TYPE="確認",shinsei_INSPECTION_TYPE="計画変更"),"確認",shinsei_INSPECTION_TYPE))</f>
        <v>確認</v>
      </c>
      <c r="J76" s="11" t="s">
        <v>41</v>
      </c>
    </row>
    <row r="77" spans="1:10" s="11" customFormat="1" ht="12.75" customHeight="1">
      <c r="A77" s="52"/>
      <c r="B77" s="13" t="s">
        <v>42</v>
      </c>
      <c r="C77" s="13"/>
      <c r="D77" s="13"/>
      <c r="E77" s="13"/>
      <c r="F77" s="13" t="s">
        <v>3644</v>
      </c>
      <c r="G77" s="17">
        <v>0</v>
      </c>
      <c r="H77" s="11" t="s">
        <v>2937</v>
      </c>
      <c r="I77" s="57">
        <f>IF(shinsei_INSPECTION_NO="","",shinsei_INSPECTION_NO)</f>
        <v>0</v>
      </c>
      <c r="J77" s="11" t="s">
        <v>43</v>
      </c>
    </row>
    <row r="78" spans="1:10" s="11" customFormat="1" ht="12.75" customHeight="1">
      <c r="A78" s="52"/>
      <c r="B78" s="13" t="s">
        <v>44</v>
      </c>
      <c r="C78" s="13"/>
      <c r="D78" s="13"/>
      <c r="E78" s="13"/>
      <c r="F78" s="13" t="s">
        <v>3645</v>
      </c>
      <c r="G78" s="17" t="s">
        <v>3408</v>
      </c>
      <c r="H78" s="12" t="s">
        <v>167</v>
      </c>
      <c r="I78" s="381" t="str">
        <f>IF(_button_kind="","",IF(_button_kind="strtuikaimposs","imposs",IF(_button_kind="strtuikaimpossx","impossx",IF(_button_kind="strtuikang","ng",IF(_button_kind="strenkiimposs","imposs",IF(OR(_button_kind="strtuikahosei",_button_kind="strenkihosei"),"hosei",_button_kind))))))</f>
        <v>引受CK</v>
      </c>
      <c r="J78" s="11" t="s">
        <v>45</v>
      </c>
    </row>
    <row r="79" spans="1:11" s="50" customFormat="1" ht="12.75" customHeight="1">
      <c r="A79" s="60"/>
      <c r="B79" s="49"/>
      <c r="C79" s="13" t="s">
        <v>46</v>
      </c>
      <c r="D79" s="13" t="s">
        <v>45</v>
      </c>
      <c r="E79" s="49"/>
      <c r="F79" s="49" t="s">
        <v>3409</v>
      </c>
      <c r="G79" s="4"/>
      <c r="J79" s="11"/>
      <c r="K79" s="50" t="s">
        <v>47</v>
      </c>
    </row>
    <row r="80" spans="1:10" s="50" customFormat="1" ht="12.75" customHeight="1">
      <c r="A80" s="60"/>
      <c r="B80" s="49"/>
      <c r="C80" s="49"/>
      <c r="D80" s="49" t="s">
        <v>2727</v>
      </c>
      <c r="E80" s="49"/>
      <c r="F80" s="49" t="s">
        <v>3409</v>
      </c>
      <c r="H80" s="15" t="s">
        <v>3039</v>
      </c>
      <c r="I80" s="20">
        <f>IF(OR(cst__button_kind__select="imposs",cst__button_kind__select="impossx",cst__button_kind__select="ng",cst__button_kind__select="ngx",cst__button_kind__select="hosei"),IF(_button_no="",cst__button_kind__select,cst__button_kind__select&amp;_button_no),"")</f>
      </c>
      <c r="J80" s="11" t="s">
        <v>446</v>
      </c>
    </row>
    <row r="81" spans="1:10" s="11" customFormat="1" ht="12.75" customHeight="1">
      <c r="A81" s="52"/>
      <c r="B81" s="13" t="s">
        <v>3040</v>
      </c>
      <c r="C81" s="13"/>
      <c r="D81" s="13"/>
      <c r="E81" s="13"/>
      <c r="F81" s="13" t="s">
        <v>3646</v>
      </c>
      <c r="G81" s="17"/>
      <c r="H81" s="12"/>
      <c r="I81" s="12"/>
      <c r="J81" s="11" t="s">
        <v>3041</v>
      </c>
    </row>
    <row r="82" spans="1:10" s="11" customFormat="1" ht="12.75" customHeight="1">
      <c r="A82" s="52"/>
      <c r="B82" s="13" t="s">
        <v>3042</v>
      </c>
      <c r="C82" s="13"/>
      <c r="D82" s="13"/>
      <c r="E82" s="13"/>
      <c r="F82" s="13" t="s">
        <v>3647</v>
      </c>
      <c r="G82" s="17"/>
      <c r="H82" s="12" t="s">
        <v>3043</v>
      </c>
      <c r="I82" s="18">
        <f>IF(_button_no="","",_button_no)</f>
      </c>
      <c r="J82" s="11" t="s">
        <v>3044</v>
      </c>
    </row>
    <row r="83" spans="1:8" s="11" customFormat="1" ht="12.75" customHeight="1">
      <c r="A83" s="13"/>
      <c r="B83" s="13"/>
      <c r="C83" s="13"/>
      <c r="D83" s="13"/>
      <c r="E83" s="13"/>
      <c r="F83" s="13" t="s">
        <v>3409</v>
      </c>
      <c r="G83" s="12"/>
      <c r="H83" s="12"/>
    </row>
    <row r="84" spans="1:8" s="11" customFormat="1" ht="12.75" customHeight="1">
      <c r="A84" s="13"/>
      <c r="B84" s="13"/>
      <c r="C84" s="13"/>
      <c r="D84" s="13"/>
      <c r="E84" s="13"/>
      <c r="F84" s="13" t="s">
        <v>3409</v>
      </c>
      <c r="G84" s="12"/>
      <c r="H84" s="12"/>
    </row>
    <row r="85" spans="1:10" s="11" customFormat="1" ht="12.75" customHeight="1">
      <c r="A85" s="64" t="s">
        <v>447</v>
      </c>
      <c r="B85" s="64"/>
      <c r="C85" s="64"/>
      <c r="D85" s="64"/>
      <c r="E85" s="64"/>
      <c r="F85" s="64" t="s">
        <v>3409</v>
      </c>
      <c r="J85" s="11" t="s">
        <v>448</v>
      </c>
    </row>
    <row r="86" spans="1:10" s="11" customFormat="1" ht="12.75" customHeight="1">
      <c r="A86" s="52"/>
      <c r="B86" s="52" t="s">
        <v>449</v>
      </c>
      <c r="C86" s="52"/>
      <c r="D86" s="52"/>
      <c r="E86" s="52"/>
      <c r="F86" s="52" t="s">
        <v>3409</v>
      </c>
      <c r="J86" s="11" t="s">
        <v>450</v>
      </c>
    </row>
    <row r="87" spans="1:9" s="11" customFormat="1" ht="12.75" customHeight="1">
      <c r="A87" s="52"/>
      <c r="B87" s="52"/>
      <c r="C87" s="52" t="s">
        <v>3045</v>
      </c>
      <c r="D87" s="52"/>
      <c r="E87" s="52"/>
      <c r="F87" s="52" t="s">
        <v>451</v>
      </c>
      <c r="G87" s="14" t="s">
        <v>1589</v>
      </c>
      <c r="H87" s="12"/>
      <c r="I87" s="12"/>
    </row>
    <row r="88" spans="1:9" s="11" customFormat="1" ht="12.75" customHeight="1">
      <c r="A88" s="52"/>
      <c r="B88" s="52"/>
      <c r="C88" s="52" t="s">
        <v>3046</v>
      </c>
      <c r="D88" s="52"/>
      <c r="E88" s="52"/>
      <c r="F88" s="52" t="s">
        <v>452</v>
      </c>
      <c r="G88" s="14" t="s">
        <v>3409</v>
      </c>
      <c r="H88" s="12"/>
      <c r="I88" s="12"/>
    </row>
    <row r="89" spans="1:10" s="11" customFormat="1" ht="12.75" customHeight="1">
      <c r="A89" s="52"/>
      <c r="B89" s="52" t="s">
        <v>453</v>
      </c>
      <c r="C89" s="52"/>
      <c r="D89" s="52"/>
      <c r="E89" s="52"/>
      <c r="F89" s="52" t="s">
        <v>3409</v>
      </c>
      <c r="G89" s="12"/>
      <c r="H89" s="12"/>
      <c r="I89" s="12"/>
      <c r="J89" s="11" t="s">
        <v>454</v>
      </c>
    </row>
    <row r="90" spans="1:10" s="11" customFormat="1" ht="12.75" customHeight="1">
      <c r="A90" s="52"/>
      <c r="B90" s="52"/>
      <c r="C90" s="52" t="s">
        <v>455</v>
      </c>
      <c r="D90" s="52"/>
      <c r="E90" s="52"/>
      <c r="F90" s="52" t="s">
        <v>3648</v>
      </c>
      <c r="G90" s="14" t="s">
        <v>1589</v>
      </c>
      <c r="H90" s="11" t="s">
        <v>3047</v>
      </c>
      <c r="I90" s="58" t="str">
        <f>IF(city_ken="","",city_ken)</f>
        <v>兵庫県</v>
      </c>
      <c r="J90" s="11" t="s">
        <v>3048</v>
      </c>
    </row>
    <row r="91" spans="1:10" s="11" customFormat="1" ht="12.75" customHeight="1">
      <c r="A91" s="52"/>
      <c r="B91" s="52"/>
      <c r="C91" s="52" t="s">
        <v>456</v>
      </c>
      <c r="D91" s="52"/>
      <c r="E91" s="52"/>
      <c r="F91" s="52" t="s">
        <v>3649</v>
      </c>
      <c r="G91" s="14" t="s">
        <v>3650</v>
      </c>
      <c r="H91" s="11" t="s">
        <v>3049</v>
      </c>
      <c r="I91" s="58" t="str">
        <f>IF(city_city="","",city_city)</f>
        <v>尼崎市</v>
      </c>
      <c r="J91" s="11" t="s">
        <v>3022</v>
      </c>
    </row>
    <row r="92" spans="1:10" s="11" customFormat="1" ht="12.75" customHeight="1">
      <c r="A92" s="52"/>
      <c r="B92" s="52"/>
      <c r="C92" s="52" t="s">
        <v>457</v>
      </c>
      <c r="D92" s="52"/>
      <c r="E92" s="52"/>
      <c r="F92" s="52" t="s">
        <v>3651</v>
      </c>
      <c r="G92" s="14" t="s">
        <v>3409</v>
      </c>
      <c r="H92" s="11" t="s">
        <v>3023</v>
      </c>
      <c r="I92" s="58">
        <f>IF(city_town="","",city_town)</f>
      </c>
      <c r="J92" s="11" t="s">
        <v>2870</v>
      </c>
    </row>
    <row r="93" spans="1:10" s="11" customFormat="1" ht="12.75" customHeight="1">
      <c r="A93" s="52"/>
      <c r="B93" s="52"/>
      <c r="C93" s="52" t="s">
        <v>458</v>
      </c>
      <c r="D93" s="52"/>
      <c r="E93" s="52"/>
      <c r="F93" s="52" t="s">
        <v>3652</v>
      </c>
      <c r="G93" s="14" t="s">
        <v>3409</v>
      </c>
      <c r="H93" s="11" t="s">
        <v>459</v>
      </c>
      <c r="I93" s="58">
        <f>IF(city_street="","",city_street)</f>
      </c>
      <c r="J93" s="11" t="s">
        <v>1004</v>
      </c>
    </row>
    <row r="94" spans="1:9" s="11" customFormat="1" ht="12.75" customHeight="1">
      <c r="A94" s="52"/>
      <c r="B94" s="52" t="s">
        <v>460</v>
      </c>
      <c r="C94" s="52"/>
      <c r="D94" s="52"/>
      <c r="E94" s="52"/>
      <c r="F94" s="52" t="s">
        <v>3409</v>
      </c>
      <c r="G94" s="12"/>
      <c r="H94" s="12"/>
      <c r="I94" s="12"/>
    </row>
    <row r="95" spans="1:10" s="11" customFormat="1" ht="12.75" customHeight="1">
      <c r="A95" s="52"/>
      <c r="B95" s="52"/>
      <c r="C95" s="52" t="s">
        <v>461</v>
      </c>
      <c r="D95" s="52"/>
      <c r="E95" s="52"/>
      <c r="F95" s="52" t="s">
        <v>3653</v>
      </c>
      <c r="G95" s="14" t="s">
        <v>3654</v>
      </c>
      <c r="H95" s="65" t="s">
        <v>462</v>
      </c>
      <c r="I95" s="66" t="str">
        <f>IF(city_FIRE_STATION_ID__NAME="","",city_FIRE_STATION_ID__NAME)</f>
        <v>尼崎市消防局</v>
      </c>
      <c r="J95" s="11" t="s">
        <v>1004</v>
      </c>
    </row>
    <row r="96" spans="1:10" s="11" customFormat="1" ht="12.75" customHeight="1">
      <c r="A96" s="52"/>
      <c r="B96" s="52"/>
      <c r="C96" s="52" t="s">
        <v>463</v>
      </c>
      <c r="D96" s="52"/>
      <c r="E96" s="52"/>
      <c r="F96" s="52" t="s">
        <v>3655</v>
      </c>
      <c r="G96" s="14" t="s">
        <v>3656</v>
      </c>
      <c r="H96" s="65" t="s">
        <v>464</v>
      </c>
      <c r="I96" s="66" t="str">
        <f>IF(city_FIRE_STATION_ID__DEPART_NAME="","",city_FIRE_STATION_ID__DEPART_NAME)</f>
        <v>予防担当</v>
      </c>
      <c r="J96" s="11" t="s">
        <v>1004</v>
      </c>
    </row>
    <row r="97" spans="1:10" s="11" customFormat="1" ht="12.75" customHeight="1">
      <c r="A97" s="52"/>
      <c r="B97" s="52"/>
      <c r="C97" s="52" t="s">
        <v>465</v>
      </c>
      <c r="D97" s="52"/>
      <c r="E97" s="52"/>
      <c r="F97" s="52" t="s">
        <v>3657</v>
      </c>
      <c r="G97" s="14" t="s">
        <v>3658</v>
      </c>
      <c r="H97" s="67" t="s">
        <v>692</v>
      </c>
      <c r="I97" s="66" t="str">
        <f>IF(city_FIRE_STATION_ID__DEST_NAME="","",city_FIRE_STATION_ID__DEST_NAME)</f>
        <v>消防長</v>
      </c>
      <c r="J97" s="11" t="s">
        <v>1004</v>
      </c>
    </row>
    <row r="98" spans="1:9" s="11" customFormat="1" ht="12.75" customHeight="1">
      <c r="A98" s="52"/>
      <c r="B98" s="52" t="s">
        <v>693</v>
      </c>
      <c r="C98" s="52"/>
      <c r="D98" s="52"/>
      <c r="E98" s="52"/>
      <c r="F98" s="52" t="s">
        <v>3409</v>
      </c>
      <c r="G98" s="12"/>
      <c r="H98" s="12"/>
      <c r="I98" s="12"/>
    </row>
    <row r="99" spans="1:10" s="11" customFormat="1" ht="12.75" customHeight="1">
      <c r="A99" s="52"/>
      <c r="B99" s="52"/>
      <c r="C99" s="52" t="s">
        <v>693</v>
      </c>
      <c r="D99" s="52"/>
      <c r="E99" s="52"/>
      <c r="F99" s="52" t="s">
        <v>3659</v>
      </c>
      <c r="G99" s="14" t="s">
        <v>3660</v>
      </c>
      <c r="H99" s="12"/>
      <c r="I99" s="12"/>
      <c r="J99" s="11" t="s">
        <v>2872</v>
      </c>
    </row>
    <row r="100" spans="1:10" s="11" customFormat="1" ht="12.75" customHeight="1">
      <c r="A100" s="52"/>
      <c r="B100" s="52"/>
      <c r="C100" s="52" t="s">
        <v>2394</v>
      </c>
      <c r="D100" s="52"/>
      <c r="E100" s="52"/>
      <c r="F100" s="52" t="s">
        <v>3661</v>
      </c>
      <c r="G100" s="14" t="s">
        <v>3662</v>
      </c>
      <c r="H100" s="12"/>
      <c r="I100" s="12"/>
      <c r="J100" s="11" t="s">
        <v>2872</v>
      </c>
    </row>
    <row r="101" spans="1:10" s="11" customFormat="1" ht="12.75" customHeight="1">
      <c r="A101" s="52"/>
      <c r="B101" s="52"/>
      <c r="C101" s="52" t="s">
        <v>2395</v>
      </c>
      <c r="D101" s="52"/>
      <c r="E101" s="52"/>
      <c r="F101" s="52" t="s">
        <v>3663</v>
      </c>
      <c r="G101" s="14" t="s">
        <v>3664</v>
      </c>
      <c r="H101" s="12" t="s">
        <v>1382</v>
      </c>
      <c r="I101" s="58" t="str">
        <f>IF(city_HEALTH_CENTER_ID__DEST_NAME="","所轄保健所長  様",city_HEALTH_CENTER_ID__DEST_NAME&amp;"  様")</f>
        <v>尼崎市保健所長  様</v>
      </c>
      <c r="J101" s="11" t="s">
        <v>2872</v>
      </c>
    </row>
    <row r="102" spans="1:9" s="11" customFormat="1" ht="12.75" customHeight="1">
      <c r="A102" s="52"/>
      <c r="B102" s="52" t="s">
        <v>1146</v>
      </c>
      <c r="C102" s="52"/>
      <c r="D102" s="52"/>
      <c r="E102" s="52"/>
      <c r="F102" s="52" t="s">
        <v>3665</v>
      </c>
      <c r="G102" s="14" t="s">
        <v>3409</v>
      </c>
      <c r="H102" s="12" t="s">
        <v>320</v>
      </c>
      <c r="I102" s="58">
        <f>IF(shinsei_KAKUNINZUMI_HOUKOKU_GYOSEI_NO="","",shinsei_KAKUNINZUMI_HOUKOKU_GYOSEI_NO)</f>
      </c>
    </row>
    <row r="103" spans="1:10" s="11" customFormat="1" ht="12.75" customHeight="1">
      <c r="A103" s="52"/>
      <c r="B103" s="52" t="s">
        <v>694</v>
      </c>
      <c r="C103" s="52"/>
      <c r="D103" s="52"/>
      <c r="E103" s="52"/>
      <c r="F103" s="52" t="s">
        <v>695</v>
      </c>
      <c r="G103" s="17">
        <v>1</v>
      </c>
      <c r="H103" s="11" t="s">
        <v>2396</v>
      </c>
      <c r="I103" s="58">
        <f>IF(shinsei_REPORT_DEST_KIND="","",shinsei_REPORT_DEST_KIND)</f>
        <v>1</v>
      </c>
      <c r="J103" s="11" t="s">
        <v>696</v>
      </c>
    </row>
    <row r="104" spans="1:10" s="11" customFormat="1" ht="12.75" customHeight="1">
      <c r="A104" s="52"/>
      <c r="B104" s="52" t="s">
        <v>2314</v>
      </c>
      <c r="C104" s="52"/>
      <c r="D104" s="52"/>
      <c r="E104" s="52"/>
      <c r="F104" s="52" t="s">
        <v>3666</v>
      </c>
      <c r="G104" s="14" t="s">
        <v>3667</v>
      </c>
      <c r="H104" s="11" t="s">
        <v>2397</v>
      </c>
      <c r="I104" s="58" t="str">
        <f>IF(city_CITY_KIND="","",city_CITY_KIND)</f>
        <v>特定行政庁</v>
      </c>
      <c r="J104" s="11" t="s">
        <v>2398</v>
      </c>
    </row>
    <row r="105" spans="1:7" s="11" customFormat="1" ht="12.75" customHeight="1">
      <c r="A105" s="52"/>
      <c r="B105" s="52" t="s">
        <v>2315</v>
      </c>
      <c r="C105" s="52"/>
      <c r="D105" s="52"/>
      <c r="E105" s="52"/>
      <c r="F105" s="52" t="s">
        <v>3409</v>
      </c>
      <c r="G105" s="52" t="s">
        <v>3409</v>
      </c>
    </row>
    <row r="106" spans="1:10" s="11" customFormat="1" ht="12.75" customHeight="1">
      <c r="A106" s="52"/>
      <c r="B106" s="52"/>
      <c r="C106" s="52" t="s">
        <v>2399</v>
      </c>
      <c r="D106" s="52"/>
      <c r="E106" s="52"/>
      <c r="F106" s="52" t="s">
        <v>3668</v>
      </c>
      <c r="G106" s="68" t="s">
        <v>3669</v>
      </c>
      <c r="H106" s="11" t="s">
        <v>2400</v>
      </c>
      <c r="I106" s="58" t="str">
        <f>IF(shinsei_REPORT_DEST_NAME="","",shinsei_REPORT_DEST_NAME)</f>
        <v>尼崎市役所</v>
      </c>
      <c r="J106" s="11" t="s">
        <v>2401</v>
      </c>
    </row>
    <row r="107" spans="1:10" s="11" customFormat="1" ht="12.75" customHeight="1">
      <c r="A107" s="52"/>
      <c r="B107" s="52"/>
      <c r="C107" s="52" t="s">
        <v>2402</v>
      </c>
      <c r="D107" s="52"/>
      <c r="E107" s="52"/>
      <c r="F107" s="52" t="s">
        <v>3670</v>
      </c>
      <c r="G107" s="68" t="s">
        <v>3671</v>
      </c>
      <c r="H107" s="11" t="s">
        <v>2403</v>
      </c>
      <c r="I107" s="58" t="str">
        <f>IF(shinsei_REPORT_DEST_DEPART_NAME="","",shinsei_REPORT_DEST_DEPART_NAME)</f>
        <v>都市局　建築指導課</v>
      </c>
      <c r="J107" s="11" t="s">
        <v>2401</v>
      </c>
    </row>
    <row r="108" spans="1:10" s="11" customFormat="1" ht="12.75" customHeight="1">
      <c r="A108" s="52"/>
      <c r="B108" s="52"/>
      <c r="C108" s="52" t="s">
        <v>2404</v>
      </c>
      <c r="D108" s="52"/>
      <c r="E108" s="52"/>
      <c r="F108" s="52" t="s">
        <v>3672</v>
      </c>
      <c r="G108" s="68" t="s">
        <v>3409</v>
      </c>
      <c r="H108" s="11" t="s">
        <v>2405</v>
      </c>
      <c r="I108" s="58">
        <f>IF(shinsei_REPORT_DEST_FAX="","",shinsei_REPORT_DEST_FAX)</f>
      </c>
      <c r="J108" s="11" t="s">
        <v>2401</v>
      </c>
    </row>
    <row r="109" spans="1:10" s="11" customFormat="1" ht="12.75" customHeight="1">
      <c r="A109" s="52"/>
      <c r="B109" s="52"/>
      <c r="C109" s="52" t="s">
        <v>2406</v>
      </c>
      <c r="D109" s="52"/>
      <c r="E109" s="52"/>
      <c r="F109" s="52" t="s">
        <v>3673</v>
      </c>
      <c r="G109" s="68" t="s">
        <v>3674</v>
      </c>
      <c r="H109" s="11" t="s">
        <v>2407</v>
      </c>
      <c r="I109" s="58" t="str">
        <f>IF(shinsei_REPORT_DEST_SYUJI_NAME="","",shinsei_REPORT_DEST_SYUJI_NAME)</f>
        <v>尼崎市建築主事</v>
      </c>
      <c r="J109" s="11" t="s">
        <v>2401</v>
      </c>
    </row>
    <row r="110" spans="1:10" s="11" customFormat="1" ht="12.75" customHeight="1">
      <c r="A110" s="52"/>
      <c r="B110" s="52"/>
      <c r="C110" s="52" t="s">
        <v>2408</v>
      </c>
      <c r="D110" s="52"/>
      <c r="E110" s="52"/>
      <c r="F110" s="52" t="s">
        <v>3675</v>
      </c>
      <c r="G110" s="68" t="s">
        <v>3676</v>
      </c>
      <c r="H110" s="11" t="s">
        <v>2409</v>
      </c>
      <c r="I110" s="58" t="str">
        <f>IF(shinsei_REPORT_DEST_GYOUSEI_NAME="","",shinsei_REPORT_DEST_GYOUSEI_NAME)</f>
        <v>尼崎市長</v>
      </c>
      <c r="J110" s="11" t="s">
        <v>2401</v>
      </c>
    </row>
    <row r="111" spans="1:7" s="11" customFormat="1" ht="12.75" customHeight="1">
      <c r="A111" s="52"/>
      <c r="B111" s="52" t="s">
        <v>1437</v>
      </c>
      <c r="C111" s="52"/>
      <c r="D111" s="52"/>
      <c r="E111" s="52"/>
      <c r="F111" s="52" t="s">
        <v>3409</v>
      </c>
      <c r="G111" s="52" t="s">
        <v>3409</v>
      </c>
    </row>
    <row r="112" spans="1:10" s="11" customFormat="1" ht="12.75" customHeight="1">
      <c r="A112" s="52"/>
      <c r="B112" s="52"/>
      <c r="C112" s="52" t="s">
        <v>2410</v>
      </c>
      <c r="D112" s="52"/>
      <c r="E112" s="52"/>
      <c r="F112" s="52" t="s">
        <v>3677</v>
      </c>
      <c r="G112" s="68" t="s">
        <v>3669</v>
      </c>
      <c r="H112" s="11" t="s">
        <v>2411</v>
      </c>
      <c r="I112" s="58" t="str">
        <f>IF(city_CITY_PUBLIC_OFFICE_ID__NAME="","",city_CITY_PUBLIC_OFFICE_ID__NAME)</f>
        <v>尼崎市役所</v>
      </c>
      <c r="J112" s="11" t="s">
        <v>2401</v>
      </c>
    </row>
    <row r="113" spans="1:11" s="11" customFormat="1" ht="12" customHeight="1">
      <c r="A113" s="52"/>
      <c r="B113" s="52"/>
      <c r="C113" s="52" t="s">
        <v>2402</v>
      </c>
      <c r="D113" s="52"/>
      <c r="E113" s="52"/>
      <c r="F113" s="52" t="s">
        <v>3678</v>
      </c>
      <c r="G113" s="68" t="s">
        <v>3671</v>
      </c>
      <c r="H113" s="11" t="s">
        <v>2412</v>
      </c>
      <c r="I113" s="58" t="str">
        <f>IF(city_CITY_PUBLIC_OFFICE_ID__DEPART_NAME="","",city_CITY_PUBLIC_OFFICE_ID__DEPART_NAME)</f>
        <v>都市局　建築指導課</v>
      </c>
      <c r="J113" s="11" t="s">
        <v>2401</v>
      </c>
      <c r="K113" s="69"/>
    </row>
    <row r="114" spans="1:10" s="11" customFormat="1" ht="12.75" customHeight="1">
      <c r="A114" s="52"/>
      <c r="B114" s="52"/>
      <c r="C114" s="52" t="s">
        <v>2404</v>
      </c>
      <c r="D114" s="52"/>
      <c r="E114" s="52"/>
      <c r="F114" s="52" t="s">
        <v>3679</v>
      </c>
      <c r="G114" s="68" t="s">
        <v>3409</v>
      </c>
      <c r="H114" s="11" t="s">
        <v>2413</v>
      </c>
      <c r="I114" s="58">
        <f>IF(city_CITY_PUBLIC_OFFICE_ID__FAX="","",city_CITY_PUBLIC_OFFICE_ID__FAX)</f>
      </c>
      <c r="J114" s="11" t="s">
        <v>2401</v>
      </c>
    </row>
    <row r="115" spans="1:10" s="11" customFormat="1" ht="12.75" customHeight="1">
      <c r="A115" s="52"/>
      <c r="B115" s="52"/>
      <c r="C115" s="52" t="s">
        <v>2406</v>
      </c>
      <c r="D115" s="52"/>
      <c r="E115" s="52"/>
      <c r="F115" s="52" t="s">
        <v>3680</v>
      </c>
      <c r="G115" s="68" t="s">
        <v>3674</v>
      </c>
      <c r="H115" s="11" t="s">
        <v>2414</v>
      </c>
      <c r="I115" s="58" t="str">
        <f>IF(city_CITY_PUBLIC_OFFICE_ID__SYUJI_NAME="","",city_CITY_PUBLIC_OFFICE_ID__SYUJI_NAME)</f>
        <v>尼崎市建築主事</v>
      </c>
      <c r="J115" s="11" t="s">
        <v>2401</v>
      </c>
    </row>
    <row r="116" spans="1:10" s="11" customFormat="1" ht="12.75" customHeight="1">
      <c r="A116" s="52"/>
      <c r="B116" s="52"/>
      <c r="C116" s="52" t="s">
        <v>2408</v>
      </c>
      <c r="D116" s="52"/>
      <c r="E116" s="52"/>
      <c r="F116" s="52" t="s">
        <v>3681</v>
      </c>
      <c r="G116" s="68" t="s">
        <v>3676</v>
      </c>
      <c r="H116" s="11" t="s">
        <v>2415</v>
      </c>
      <c r="I116" s="58" t="str">
        <f>IF(city_CITY_PUBLIC_OFFICE_ID__GYOUSEI_NAME="","",city_CITY_PUBLIC_OFFICE_ID__GYOUSEI_NAME)</f>
        <v>尼崎市長</v>
      </c>
      <c r="J116" s="11" t="s">
        <v>2401</v>
      </c>
    </row>
    <row r="117" spans="1:7" s="11" customFormat="1" ht="12.75" customHeight="1">
      <c r="A117" s="52"/>
      <c r="B117" s="52" t="s">
        <v>1438</v>
      </c>
      <c r="C117" s="52"/>
      <c r="D117" s="52"/>
      <c r="E117" s="52"/>
      <c r="F117" s="52" t="s">
        <v>3409</v>
      </c>
      <c r="G117" s="52" t="s">
        <v>3409</v>
      </c>
    </row>
    <row r="118" spans="1:10" s="11" customFormat="1" ht="12">
      <c r="A118" s="52"/>
      <c r="B118" s="52"/>
      <c r="C118" s="52" t="s">
        <v>2410</v>
      </c>
      <c r="D118" s="52"/>
      <c r="E118" s="52"/>
      <c r="F118" s="52" t="s">
        <v>3682</v>
      </c>
      <c r="G118" s="68" t="s">
        <v>3409</v>
      </c>
      <c r="H118" s="11" t="s">
        <v>2416</v>
      </c>
      <c r="I118" s="58">
        <f>IF(city_KEN1_PUBLIC_OFFICE_ID__NAME="","",city_KEN1_PUBLIC_OFFICE_ID__NAME)</f>
      </c>
      <c r="J118" s="11" t="s">
        <v>2401</v>
      </c>
    </row>
    <row r="119" spans="1:10" s="11" customFormat="1" ht="12.75" customHeight="1">
      <c r="A119" s="52"/>
      <c r="B119" s="52"/>
      <c r="C119" s="52" t="s">
        <v>2402</v>
      </c>
      <c r="D119" s="52"/>
      <c r="E119" s="52"/>
      <c r="F119" s="52" t="s">
        <v>3683</v>
      </c>
      <c r="G119" s="68" t="s">
        <v>3409</v>
      </c>
      <c r="H119" s="11" t="s">
        <v>2417</v>
      </c>
      <c r="I119" s="58">
        <f>IF(city_KEN1_PUBLIC_OFFICE_ID__DEPART_NAME="","",city_KEN1_PUBLIC_OFFICE_ID__DEPART_NAME)</f>
      </c>
      <c r="J119" s="11" t="s">
        <v>2401</v>
      </c>
    </row>
    <row r="120" spans="1:10" s="11" customFormat="1" ht="12.75" customHeight="1">
      <c r="A120" s="52"/>
      <c r="B120" s="52"/>
      <c r="C120" s="52" t="s">
        <v>2404</v>
      </c>
      <c r="D120" s="52"/>
      <c r="E120" s="52"/>
      <c r="F120" s="52" t="s">
        <v>3684</v>
      </c>
      <c r="G120" s="68" t="s">
        <v>3409</v>
      </c>
      <c r="H120" s="11" t="s">
        <v>637</v>
      </c>
      <c r="I120" s="58">
        <f>IF(city_KEN1_PUBLIC_OFFICE_ID__FAX="","",city_KEN1_PUBLIC_OFFICE_ID__FAX)</f>
      </c>
      <c r="J120" s="11" t="s">
        <v>2401</v>
      </c>
    </row>
    <row r="121" spans="1:10" s="11" customFormat="1" ht="12.75" customHeight="1">
      <c r="A121" s="52"/>
      <c r="B121" s="52"/>
      <c r="C121" s="52" t="s">
        <v>2406</v>
      </c>
      <c r="D121" s="52"/>
      <c r="E121" s="52"/>
      <c r="F121" s="52" t="s">
        <v>3685</v>
      </c>
      <c r="G121" s="68" t="s">
        <v>3409</v>
      </c>
      <c r="H121" s="11" t="s">
        <v>638</v>
      </c>
      <c r="I121" s="58">
        <f>IF(city_KEN1_PUBLIC_OFFICE_ID__SYUJI_NAME="","",city_KEN1_PUBLIC_OFFICE_ID__SYUJI_NAME)</f>
      </c>
      <c r="J121" s="11" t="s">
        <v>2401</v>
      </c>
    </row>
    <row r="122" spans="1:10" s="11" customFormat="1" ht="12.75" customHeight="1">
      <c r="A122" s="52"/>
      <c r="B122" s="52"/>
      <c r="C122" s="52" t="s">
        <v>2408</v>
      </c>
      <c r="D122" s="52"/>
      <c r="E122" s="52"/>
      <c r="F122" s="52" t="s">
        <v>3686</v>
      </c>
      <c r="G122" s="68" t="s">
        <v>3409</v>
      </c>
      <c r="H122" s="11" t="s">
        <v>639</v>
      </c>
      <c r="I122" s="58">
        <f>IF(city_KEN1_PUBLIC_OFFICE_ID__GYOUSEI_NAME="","",city_KEN1_PUBLIC_OFFICE_ID__GYOUSEI_NAME)</f>
      </c>
      <c r="J122" s="11" t="s">
        <v>2401</v>
      </c>
    </row>
    <row r="123" spans="1:7" s="11" customFormat="1" ht="12.75" customHeight="1">
      <c r="A123" s="52"/>
      <c r="B123" s="52" t="s">
        <v>1439</v>
      </c>
      <c r="C123" s="52"/>
      <c r="D123" s="52"/>
      <c r="E123" s="52"/>
      <c r="F123" s="52" t="s">
        <v>3409</v>
      </c>
      <c r="G123" s="52" t="s">
        <v>3409</v>
      </c>
    </row>
    <row r="124" spans="1:10" s="11" customFormat="1" ht="12">
      <c r="A124" s="52"/>
      <c r="B124" s="52"/>
      <c r="C124" s="52" t="s">
        <v>2410</v>
      </c>
      <c r="D124" s="52"/>
      <c r="E124" s="52"/>
      <c r="F124" s="52" t="s">
        <v>3687</v>
      </c>
      <c r="G124" s="68" t="s">
        <v>3409</v>
      </c>
      <c r="H124" s="11" t="s">
        <v>640</v>
      </c>
      <c r="I124" s="58">
        <f>IF(city_KEN2_PUBLIC_OFFICE_ID__NAME="","",city_KEN2_PUBLIC_OFFICE_ID__NAME)</f>
      </c>
      <c r="J124" s="11" t="s">
        <v>2401</v>
      </c>
    </row>
    <row r="125" spans="1:10" s="11" customFormat="1" ht="12.75" customHeight="1">
      <c r="A125" s="52"/>
      <c r="B125" s="52"/>
      <c r="C125" s="52" t="s">
        <v>2402</v>
      </c>
      <c r="D125" s="52"/>
      <c r="E125" s="52"/>
      <c r="F125" s="52" t="s">
        <v>3688</v>
      </c>
      <c r="G125" s="68" t="s">
        <v>3409</v>
      </c>
      <c r="H125" s="11" t="s">
        <v>641</v>
      </c>
      <c r="I125" s="58">
        <f>IF(city_KEN2_PUBLIC_OFFICE_ID__DEPART_NAME="","",city_KEN2_PUBLIC_OFFICE_ID__DEPART_NAME)</f>
      </c>
      <c r="J125" s="11" t="s">
        <v>2401</v>
      </c>
    </row>
    <row r="126" spans="1:10" s="11" customFormat="1" ht="12.75" customHeight="1">
      <c r="A126" s="52"/>
      <c r="B126" s="52"/>
      <c r="C126" s="52" t="s">
        <v>2404</v>
      </c>
      <c r="D126" s="52"/>
      <c r="E126" s="52"/>
      <c r="F126" s="52" t="s">
        <v>3689</v>
      </c>
      <c r="G126" s="68" t="s">
        <v>3409</v>
      </c>
      <c r="H126" s="11" t="s">
        <v>1641</v>
      </c>
      <c r="I126" s="58">
        <f>IF(city_KEN2_PUBLIC_OFFICE_ID__FAX="","",city_KEN2_PUBLIC_OFFICE_ID__FAX)</f>
      </c>
      <c r="J126" s="11" t="s">
        <v>2401</v>
      </c>
    </row>
    <row r="127" spans="1:10" s="11" customFormat="1" ht="12.75" customHeight="1">
      <c r="A127" s="52"/>
      <c r="B127" s="52"/>
      <c r="C127" s="52" t="s">
        <v>2406</v>
      </c>
      <c r="D127" s="52"/>
      <c r="E127" s="52"/>
      <c r="F127" s="52" t="s">
        <v>3690</v>
      </c>
      <c r="G127" s="68" t="s">
        <v>3409</v>
      </c>
      <c r="H127" s="11" t="s">
        <v>1642</v>
      </c>
      <c r="I127" s="58">
        <f>IF(city_KEN2_PUBLIC_OFFICE_ID__SYUJI_NAME="","",city_KEN2_PUBLIC_OFFICE_ID__SYUJI_NAME)</f>
      </c>
      <c r="J127" s="11" t="s">
        <v>2401</v>
      </c>
    </row>
    <row r="128" spans="1:10" s="11" customFormat="1" ht="12.75" customHeight="1">
      <c r="A128" s="52"/>
      <c r="B128" s="52"/>
      <c r="C128" s="52" t="s">
        <v>2408</v>
      </c>
      <c r="D128" s="52"/>
      <c r="E128" s="52"/>
      <c r="F128" s="52" t="s">
        <v>3691</v>
      </c>
      <c r="G128" s="68" t="s">
        <v>3409</v>
      </c>
      <c r="H128" s="11" t="s">
        <v>1643</v>
      </c>
      <c r="I128" s="58">
        <f>IF(city_KEN2_PUBLIC_OFFICE_ID__GYOUSEI_NAME="","",city_KEN2_PUBLIC_OFFICE_ID__GYOUSEI_NAME)</f>
      </c>
      <c r="J128" s="11" t="s">
        <v>2401</v>
      </c>
    </row>
    <row r="129" spans="1:7" s="11" customFormat="1" ht="12.75" customHeight="1">
      <c r="A129" s="52"/>
      <c r="B129" s="52" t="s">
        <v>1440</v>
      </c>
      <c r="C129" s="52"/>
      <c r="D129" s="52"/>
      <c r="E129" s="52"/>
      <c r="F129" s="52" t="s">
        <v>3409</v>
      </c>
      <c r="G129" s="52" t="s">
        <v>3409</v>
      </c>
    </row>
    <row r="130" spans="1:10" s="11" customFormat="1" ht="12">
      <c r="A130" s="52"/>
      <c r="B130" s="52"/>
      <c r="C130" s="52" t="s">
        <v>2316</v>
      </c>
      <c r="D130" s="52"/>
      <c r="E130" s="52"/>
      <c r="F130" s="52" t="s">
        <v>3692</v>
      </c>
      <c r="G130" s="68" t="s">
        <v>3409</v>
      </c>
      <c r="H130" s="11" t="s">
        <v>1441</v>
      </c>
      <c r="I130" s="58">
        <f>IF(city_KEN_PUBLIC_OFFICE_ID__NAME="","",city_KEN_PUBLIC_OFFICE_ID__NAME)</f>
      </c>
      <c r="J130" s="11" t="s">
        <v>1004</v>
      </c>
    </row>
    <row r="131" spans="1:10" s="11" customFormat="1" ht="12.75" customHeight="1">
      <c r="A131" s="52"/>
      <c r="B131" s="52"/>
      <c r="C131" s="52" t="s">
        <v>463</v>
      </c>
      <c r="D131" s="52"/>
      <c r="E131" s="52"/>
      <c r="F131" s="52" t="s">
        <v>3693</v>
      </c>
      <c r="G131" s="68" t="s">
        <v>3409</v>
      </c>
      <c r="H131" s="11" t="s">
        <v>1442</v>
      </c>
      <c r="I131" s="58">
        <f>IF(city_KEN_PUBLIC_OFFICE_ID__DEPART_NAME="","",city_KEN_PUBLIC_OFFICE_ID__DEPART_NAME)</f>
      </c>
      <c r="J131" s="11" t="s">
        <v>1004</v>
      </c>
    </row>
    <row r="132" spans="1:10" s="11" customFormat="1" ht="12.75" customHeight="1">
      <c r="A132" s="52"/>
      <c r="B132" s="52"/>
      <c r="C132" s="52" t="s">
        <v>3262</v>
      </c>
      <c r="D132" s="52"/>
      <c r="E132" s="52"/>
      <c r="F132" s="52" t="s">
        <v>3694</v>
      </c>
      <c r="G132" s="68" t="s">
        <v>3409</v>
      </c>
      <c r="H132" s="11" t="s">
        <v>1443</v>
      </c>
      <c r="I132" s="58">
        <f>IF(city_KEN_PUBLIC_OFFICE_ID__FAX="","",city_KEN_PUBLIC_OFFICE_ID__FAX)</f>
      </c>
      <c r="J132" s="11" t="s">
        <v>1004</v>
      </c>
    </row>
    <row r="133" spans="1:10" s="11" customFormat="1" ht="12.75" customHeight="1">
      <c r="A133" s="52"/>
      <c r="B133" s="52"/>
      <c r="C133" s="52" t="s">
        <v>2317</v>
      </c>
      <c r="D133" s="52"/>
      <c r="E133" s="52"/>
      <c r="F133" s="52" t="s">
        <v>3695</v>
      </c>
      <c r="G133" s="68" t="s">
        <v>3409</v>
      </c>
      <c r="H133" s="11" t="s">
        <v>1078</v>
      </c>
      <c r="I133" s="58">
        <f>IF(city_KEN_PUBLIC_OFFICE_ID__SYUJI_NAME="","",city_KEN_PUBLIC_OFFICE_ID__SYUJI_NAME)</f>
      </c>
      <c r="J133" s="11" t="s">
        <v>1004</v>
      </c>
    </row>
    <row r="134" spans="1:10" s="11" customFormat="1" ht="12.75" customHeight="1">
      <c r="A134" s="52"/>
      <c r="B134" s="52"/>
      <c r="C134" s="52" t="s">
        <v>2318</v>
      </c>
      <c r="D134" s="52"/>
      <c r="E134" s="52"/>
      <c r="F134" s="52" t="s">
        <v>3696</v>
      </c>
      <c r="G134" s="68" t="s">
        <v>3409</v>
      </c>
      <c r="H134" s="11" t="s">
        <v>1079</v>
      </c>
      <c r="I134" s="58">
        <f>IF(city_KEN_PUBLIC_OFFICE_ID__GYOUSEI_NAME="","",city_KEN_PUBLIC_OFFICE_ID__GYOUSEI_NAME)</f>
      </c>
      <c r="J134" s="11" t="s">
        <v>1004</v>
      </c>
    </row>
    <row r="135" spans="1:10" s="11" customFormat="1" ht="12.75" customHeight="1">
      <c r="A135" s="52"/>
      <c r="B135" s="52" t="s">
        <v>1080</v>
      </c>
      <c r="C135" s="52"/>
      <c r="D135" s="52"/>
      <c r="E135" s="52"/>
      <c r="F135" s="52" t="s">
        <v>3409</v>
      </c>
      <c r="G135" s="52" t="s">
        <v>3409</v>
      </c>
      <c r="J135" s="11" t="s">
        <v>1081</v>
      </c>
    </row>
    <row r="136" spans="1:11" s="11" customFormat="1" ht="12.75" customHeight="1">
      <c r="A136" s="52"/>
      <c r="B136" s="52"/>
      <c r="C136" s="52" t="s">
        <v>1082</v>
      </c>
      <c r="D136" s="52"/>
      <c r="E136" s="52"/>
      <c r="F136" s="52" t="s">
        <v>1083</v>
      </c>
      <c r="G136" s="68" t="s">
        <v>3409</v>
      </c>
      <c r="J136" s="11" t="s">
        <v>1004</v>
      </c>
      <c r="K136" s="70"/>
    </row>
    <row r="137" spans="1:11" s="11" customFormat="1" ht="12.75" customHeight="1">
      <c r="A137" s="52"/>
      <c r="B137" s="52"/>
      <c r="C137" s="52" t="s">
        <v>1084</v>
      </c>
      <c r="D137" s="52"/>
      <c r="E137" s="52"/>
      <c r="F137" s="52" t="s">
        <v>1085</v>
      </c>
      <c r="G137" s="68" t="s">
        <v>3409</v>
      </c>
      <c r="J137" s="11" t="s">
        <v>1004</v>
      </c>
      <c r="K137" s="70"/>
    </row>
    <row r="138" spans="1:11" s="11" customFormat="1" ht="12.75" customHeight="1">
      <c r="A138" s="52"/>
      <c r="B138" s="52"/>
      <c r="C138" s="52" t="s">
        <v>1086</v>
      </c>
      <c r="D138" s="52"/>
      <c r="E138" s="52"/>
      <c r="F138" s="52" t="s">
        <v>1087</v>
      </c>
      <c r="G138" s="68" t="s">
        <v>3409</v>
      </c>
      <c r="J138" s="11" t="s">
        <v>1004</v>
      </c>
      <c r="K138" s="70"/>
    </row>
    <row r="139" spans="1:11" s="11" customFormat="1" ht="12.75" customHeight="1">
      <c r="A139" s="52"/>
      <c r="B139" s="52"/>
      <c r="C139" s="52" t="s">
        <v>1088</v>
      </c>
      <c r="D139" s="52"/>
      <c r="E139" s="52"/>
      <c r="F139" s="52" t="s">
        <v>1089</v>
      </c>
      <c r="G139" s="68" t="s">
        <v>3409</v>
      </c>
      <c r="J139" s="11" t="s">
        <v>1004</v>
      </c>
      <c r="K139" s="70"/>
    </row>
    <row r="140" spans="1:10" s="11" customFormat="1" ht="12.75" customHeight="1">
      <c r="A140" s="52"/>
      <c r="B140" s="13" t="s">
        <v>1395</v>
      </c>
      <c r="C140" s="13"/>
      <c r="D140" s="13"/>
      <c r="E140" s="13"/>
      <c r="F140" s="13" t="s">
        <v>1396</v>
      </c>
      <c r="G140" s="17" t="s">
        <v>3697</v>
      </c>
      <c r="H140" s="12" t="s">
        <v>1398</v>
      </c>
      <c r="I140" s="18" t="str">
        <f>IF(shinsei_PREF_OFFICE_FLAG="","",shinsei_PREF_OFFICE_FLAG)</f>
        <v>無</v>
      </c>
      <c r="J140" s="11" t="s">
        <v>1397</v>
      </c>
    </row>
    <row r="141" spans="1:8" s="11" customFormat="1" ht="12.75" customHeight="1">
      <c r="A141" s="13"/>
      <c r="B141" s="13"/>
      <c r="C141" s="13"/>
      <c r="D141" s="13"/>
      <c r="E141" s="13"/>
      <c r="F141" s="13" t="s">
        <v>3409</v>
      </c>
      <c r="G141" s="12"/>
      <c r="H141" s="12"/>
    </row>
    <row r="142" spans="1:8" s="11" customFormat="1" ht="12.75" customHeight="1">
      <c r="A142" s="13"/>
      <c r="B142" s="13"/>
      <c r="C142" s="13"/>
      <c r="D142" s="13"/>
      <c r="E142" s="13"/>
      <c r="F142" s="13" t="s">
        <v>3409</v>
      </c>
      <c r="G142" s="12"/>
      <c r="H142" s="12"/>
    </row>
    <row r="143" spans="1:10" ht="12.75" customHeight="1">
      <c r="A143" s="59" t="s">
        <v>2287</v>
      </c>
      <c r="B143" s="59"/>
      <c r="C143" s="59"/>
      <c r="D143" s="59"/>
      <c r="E143" s="59"/>
      <c r="F143" s="319" t="s">
        <v>3409</v>
      </c>
      <c r="I143" s="558"/>
      <c r="J143" s="558"/>
    </row>
    <row r="144" spans="6:10" ht="12.75" customHeight="1">
      <c r="F144" s="318" t="s">
        <v>3409</v>
      </c>
      <c r="I144" s="6"/>
      <c r="J144" s="6"/>
    </row>
    <row r="145" spans="2:7" ht="12.75" customHeight="1">
      <c r="B145" s="49" t="s">
        <v>2288</v>
      </c>
      <c r="F145" s="318" t="s">
        <v>3698</v>
      </c>
      <c r="G145" s="100">
        <f>cst_shinsei_PROVO_TANTO_USER_ID</f>
      </c>
    </row>
    <row r="146" spans="2:7" ht="12.75" customHeight="1">
      <c r="B146" s="49" t="s">
        <v>3174</v>
      </c>
      <c r="F146" s="318" t="s">
        <v>3699</v>
      </c>
      <c r="G146" s="7"/>
    </row>
    <row r="147" ht="12.75" customHeight="1">
      <c r="F147" s="318" t="s">
        <v>3409</v>
      </c>
    </row>
    <row r="148" spans="2:10" ht="12.75" customHeight="1">
      <c r="B148" s="49" t="s">
        <v>3175</v>
      </c>
      <c r="F148" s="318" t="s">
        <v>3700</v>
      </c>
      <c r="G148" s="7">
        <v>0</v>
      </c>
      <c r="J148" s="4" t="s">
        <v>3176</v>
      </c>
    </row>
    <row r="149" spans="3:10" ht="12.75" customHeight="1">
      <c r="C149" s="49" t="s">
        <v>3177</v>
      </c>
      <c r="F149" s="318" t="s">
        <v>3701</v>
      </c>
      <c r="G149" s="7" t="s">
        <v>3697</v>
      </c>
      <c r="J149" s="4" t="s">
        <v>3178</v>
      </c>
    </row>
    <row r="150" spans="2:10" ht="12.75" customHeight="1">
      <c r="B150" s="49" t="s">
        <v>3179</v>
      </c>
      <c r="F150" s="318" t="s">
        <v>3702</v>
      </c>
      <c r="G150" s="7">
        <v>0</v>
      </c>
      <c r="J150" s="4" t="s">
        <v>3176</v>
      </c>
    </row>
    <row r="151" spans="6:10" ht="12.75" customHeight="1">
      <c r="F151" s="318" t="s">
        <v>3703</v>
      </c>
      <c r="G151" s="7" t="s">
        <v>3697</v>
      </c>
      <c r="J151" s="4" t="s">
        <v>3178</v>
      </c>
    </row>
    <row r="152" spans="2:10" ht="12.75" customHeight="1">
      <c r="B152" s="49" t="s">
        <v>3180</v>
      </c>
      <c r="F152" s="318" t="s">
        <v>3704</v>
      </c>
      <c r="G152" s="7">
        <v>0</v>
      </c>
      <c r="J152" s="4" t="s">
        <v>3176</v>
      </c>
    </row>
    <row r="153" spans="6:10" ht="12.75" customHeight="1">
      <c r="F153" s="318" t="s">
        <v>3705</v>
      </c>
      <c r="G153" s="7" t="s">
        <v>3697</v>
      </c>
      <c r="J153" s="4" t="s">
        <v>3178</v>
      </c>
    </row>
    <row r="154" ht="12.75" customHeight="1">
      <c r="F154" s="318" t="s">
        <v>3409</v>
      </c>
    </row>
    <row r="155" spans="2:6" ht="12.75" customHeight="1">
      <c r="B155" s="49" t="s">
        <v>2038</v>
      </c>
      <c r="F155" s="318" t="s">
        <v>3409</v>
      </c>
    </row>
    <row r="156" spans="2:7" ht="12.75" customHeight="1">
      <c r="B156" s="49" t="s">
        <v>2554</v>
      </c>
      <c r="F156" s="318" t="s">
        <v>3706</v>
      </c>
      <c r="G156" s="8" t="s">
        <v>3409</v>
      </c>
    </row>
    <row r="157" spans="2:7" ht="12.75" customHeight="1">
      <c r="B157" s="49" t="s">
        <v>2555</v>
      </c>
      <c r="F157" s="318" t="s">
        <v>3707</v>
      </c>
      <c r="G157" s="8" t="s">
        <v>3409</v>
      </c>
    </row>
    <row r="158" spans="2:7" ht="12.75" customHeight="1">
      <c r="B158" s="49" t="s">
        <v>2556</v>
      </c>
      <c r="F158" s="318" t="s">
        <v>3708</v>
      </c>
      <c r="G158" s="8" t="s">
        <v>3409</v>
      </c>
    </row>
    <row r="159" spans="2:7" ht="12.75" customHeight="1">
      <c r="B159" s="49" t="s">
        <v>2557</v>
      </c>
      <c r="F159" s="318" t="s">
        <v>3709</v>
      </c>
      <c r="G159" s="8" t="s">
        <v>3409</v>
      </c>
    </row>
    <row r="160" spans="2:7" ht="12.75" customHeight="1">
      <c r="B160" s="49" t="s">
        <v>2558</v>
      </c>
      <c r="F160" s="318" t="s">
        <v>3710</v>
      </c>
      <c r="G160" s="8" t="s">
        <v>3409</v>
      </c>
    </row>
    <row r="161" ht="12.75" customHeight="1">
      <c r="F161" s="318" t="s">
        <v>3409</v>
      </c>
    </row>
    <row r="162" spans="2:6" ht="12.75" customHeight="1">
      <c r="B162" s="49" t="s">
        <v>2039</v>
      </c>
      <c r="F162" s="318" t="s">
        <v>3409</v>
      </c>
    </row>
    <row r="163" spans="2:7" ht="12.75" customHeight="1">
      <c r="B163" s="49" t="s">
        <v>2554</v>
      </c>
      <c r="F163" s="318" t="s">
        <v>3711</v>
      </c>
      <c r="G163" s="8" t="s">
        <v>3409</v>
      </c>
    </row>
    <row r="164" spans="2:7" ht="12.75" customHeight="1">
      <c r="B164" s="49" t="s">
        <v>2555</v>
      </c>
      <c r="F164" s="318" t="s">
        <v>3712</v>
      </c>
      <c r="G164" s="8" t="s">
        <v>3409</v>
      </c>
    </row>
    <row r="165" spans="2:7" ht="12.75" customHeight="1">
      <c r="B165" s="49" t="s">
        <v>2556</v>
      </c>
      <c r="F165" s="318" t="s">
        <v>3713</v>
      </c>
      <c r="G165" s="8" t="s">
        <v>3409</v>
      </c>
    </row>
    <row r="166" spans="2:7" ht="12.75" customHeight="1">
      <c r="B166" s="49" t="s">
        <v>2557</v>
      </c>
      <c r="F166" s="318" t="s">
        <v>3714</v>
      </c>
      <c r="G166" s="8" t="s">
        <v>3409</v>
      </c>
    </row>
    <row r="167" spans="2:7" ht="12.75" customHeight="1">
      <c r="B167" s="49" t="s">
        <v>2558</v>
      </c>
      <c r="F167" s="318" t="s">
        <v>3715</v>
      </c>
      <c r="G167" s="8" t="s">
        <v>3409</v>
      </c>
    </row>
    <row r="168" ht="12.75" customHeight="1">
      <c r="F168" s="318" t="s">
        <v>3409</v>
      </c>
    </row>
    <row r="169" spans="2:7" ht="12.75" customHeight="1">
      <c r="B169" s="49" t="s">
        <v>2773</v>
      </c>
      <c r="F169" s="318" t="s">
        <v>3716</v>
      </c>
      <c r="G169" s="315"/>
    </row>
    <row r="170" spans="2:7" ht="12.75" customHeight="1">
      <c r="B170" s="49" t="s">
        <v>3105</v>
      </c>
      <c r="F170" s="318" t="s">
        <v>2299</v>
      </c>
      <c r="G170" s="314">
        <f>cst_shinsei_PROVO_DATE</f>
      </c>
    </row>
    <row r="171" spans="2:7" ht="12.75" customHeight="1">
      <c r="B171" s="49" t="s">
        <v>3106</v>
      </c>
      <c r="F171" s="318" t="s">
        <v>3717</v>
      </c>
      <c r="G171" s="315"/>
    </row>
    <row r="172" spans="2:7" ht="12.75" customHeight="1">
      <c r="B172" s="49" t="s">
        <v>3107</v>
      </c>
      <c r="F172" s="318" t="s">
        <v>2300</v>
      </c>
      <c r="G172" s="314">
        <f>cst_shinsei_ACCEPT_DATE</f>
        <v>42272</v>
      </c>
    </row>
    <row r="173" spans="2:7" ht="12.75" customHeight="1">
      <c r="B173" s="49" t="s">
        <v>3108</v>
      </c>
      <c r="F173" s="318" t="s">
        <v>3718</v>
      </c>
      <c r="G173" s="315"/>
    </row>
    <row r="174" spans="2:7" ht="12.75" customHeight="1">
      <c r="B174" s="49" t="s">
        <v>3109</v>
      </c>
      <c r="F174" s="318" t="s">
        <v>3719</v>
      </c>
      <c r="G174" s="315"/>
    </row>
    <row r="175" spans="2:7" ht="12.75" customHeight="1">
      <c r="B175" s="49" t="s">
        <v>3110</v>
      </c>
      <c r="F175" s="318" t="s">
        <v>3720</v>
      </c>
      <c r="G175" s="315"/>
    </row>
    <row r="176" spans="2:7" ht="12.75" customHeight="1">
      <c r="B176" s="49" t="s">
        <v>3111</v>
      </c>
      <c r="F176" s="318" t="s">
        <v>2435</v>
      </c>
      <c r="G176" s="314">
        <f>cst_shinsei_HIKIUKE_DATE</f>
        <v>42272</v>
      </c>
    </row>
    <row r="177" spans="2:7" ht="12.75" customHeight="1">
      <c r="B177" s="49" t="s">
        <v>3112</v>
      </c>
      <c r="F177" s="318" t="s">
        <v>3721</v>
      </c>
      <c r="G177" s="315"/>
    </row>
    <row r="178" spans="2:7" ht="12.75" customHeight="1">
      <c r="B178" s="49" t="s">
        <v>3113</v>
      </c>
      <c r="F178" s="318" t="s">
        <v>3722</v>
      </c>
      <c r="G178" s="7"/>
    </row>
    <row r="179" ht="12.75" customHeight="1">
      <c r="F179" s="318" t="s">
        <v>3409</v>
      </c>
    </row>
    <row r="180" spans="2:7" ht="12.75" customHeight="1">
      <c r="B180" s="49" t="s">
        <v>3114</v>
      </c>
      <c r="F180" s="318" t="s">
        <v>3723</v>
      </c>
      <c r="G180" s="8" t="s">
        <v>3409</v>
      </c>
    </row>
    <row r="181" spans="2:7" ht="12.75" customHeight="1">
      <c r="B181" s="49" t="s">
        <v>3115</v>
      </c>
      <c r="F181" s="318" t="s">
        <v>3724</v>
      </c>
      <c r="G181" s="8" t="s">
        <v>3409</v>
      </c>
    </row>
    <row r="182" ht="12.75" customHeight="1">
      <c r="F182" s="318" t="s">
        <v>3409</v>
      </c>
    </row>
    <row r="183" ht="12.75" customHeight="1">
      <c r="F183" s="318" t="s">
        <v>3409</v>
      </c>
    </row>
    <row r="184" spans="1:6" ht="12.75" customHeight="1">
      <c r="A184" s="59" t="s">
        <v>2228</v>
      </c>
      <c r="B184" s="59"/>
      <c r="C184" s="59"/>
      <c r="D184" s="59"/>
      <c r="E184" s="59"/>
      <c r="F184" s="319" t="s">
        <v>3409</v>
      </c>
    </row>
    <row r="185" ht="12.75" customHeight="1">
      <c r="F185" s="318" t="s">
        <v>3409</v>
      </c>
    </row>
    <row r="186" ht="12.75" customHeight="1">
      <c r="F186" s="318" t="s">
        <v>3409</v>
      </c>
    </row>
    <row r="187" spans="2:9" ht="12.75" customHeight="1">
      <c r="B187" s="49" t="s">
        <v>2227</v>
      </c>
      <c r="F187" s="318" t="s">
        <v>3725</v>
      </c>
      <c r="G187" s="7"/>
      <c r="H187" s="4" t="s">
        <v>2229</v>
      </c>
      <c r="I187" s="397">
        <f>IF(shinsei_HIKIUKE_KAKU_KOUFU_YOTEI_DATE="","",shinsei_HIKIUKE_KAKU_KOUFU_YOTEI_DATE)</f>
      </c>
    </row>
    <row r="188" ht="12.75" customHeight="1">
      <c r="F188" s="318" t="s">
        <v>3409</v>
      </c>
    </row>
    <row r="189" ht="12.75" customHeight="1">
      <c r="F189" s="318" t="s">
        <v>3409</v>
      </c>
    </row>
    <row r="190" ht="12.75" customHeight="1">
      <c r="F190" s="318" t="s">
        <v>3409</v>
      </c>
    </row>
    <row r="191" ht="12.75" customHeight="1">
      <c r="F191" s="318" t="s">
        <v>3409</v>
      </c>
    </row>
    <row r="192" spans="1:6" ht="12.75" customHeight="1">
      <c r="A192" s="59" t="s">
        <v>307</v>
      </c>
      <c r="B192" s="59"/>
      <c r="C192" s="59"/>
      <c r="D192" s="59"/>
      <c r="E192" s="59"/>
      <c r="F192" s="319" t="s">
        <v>3409</v>
      </c>
    </row>
    <row r="193" ht="12.75" customHeight="1">
      <c r="F193" s="318" t="s">
        <v>3409</v>
      </c>
    </row>
    <row r="194" spans="2:6" ht="12.75" customHeight="1">
      <c r="B194" s="49" t="s">
        <v>1350</v>
      </c>
      <c r="F194" s="318" t="s">
        <v>3409</v>
      </c>
    </row>
    <row r="195" spans="2:28" ht="12.75" customHeight="1">
      <c r="B195" s="13" t="s">
        <v>1711</v>
      </c>
      <c r="C195" s="320"/>
      <c r="D195" s="320"/>
      <c r="E195" s="320"/>
      <c r="F195" s="318" t="s">
        <v>3726</v>
      </c>
      <c r="G195" s="14" t="s">
        <v>3727</v>
      </c>
      <c r="H195" s="15"/>
      <c r="I195" s="16"/>
      <c r="J195" s="307"/>
      <c r="K195" s="9"/>
      <c r="L195" s="9"/>
      <c r="M195" s="9"/>
      <c r="N195" s="9"/>
      <c r="O195" s="9"/>
      <c r="P195" s="9"/>
      <c r="Q195" s="9"/>
      <c r="R195" s="9"/>
      <c r="S195" s="9"/>
      <c r="T195" s="9"/>
      <c r="U195" s="9"/>
      <c r="V195" s="9"/>
      <c r="W195" s="9"/>
      <c r="X195" s="9"/>
      <c r="Y195" s="9"/>
      <c r="Z195" s="9"/>
      <c r="AA195" s="9"/>
      <c r="AB195" s="9"/>
    </row>
    <row r="196" spans="2:28" ht="12.75" customHeight="1">
      <c r="B196" s="13" t="s">
        <v>1712</v>
      </c>
      <c r="C196" s="320"/>
      <c r="D196" s="320"/>
      <c r="E196" s="320"/>
      <c r="F196" s="318" t="s">
        <v>3728</v>
      </c>
      <c r="G196" s="14" t="s">
        <v>3409</v>
      </c>
      <c r="H196" s="15"/>
      <c r="I196" s="16"/>
      <c r="J196" s="307"/>
      <c r="K196" s="9"/>
      <c r="L196" s="9"/>
      <c r="M196" s="9"/>
      <c r="N196" s="9"/>
      <c r="O196" s="9"/>
      <c r="P196" s="9"/>
      <c r="Q196" s="9"/>
      <c r="R196" s="9"/>
      <c r="S196" s="9"/>
      <c r="T196" s="9"/>
      <c r="U196" s="9"/>
      <c r="V196" s="9"/>
      <c r="W196" s="9"/>
      <c r="X196" s="9"/>
      <c r="Y196" s="9"/>
      <c r="Z196" s="9"/>
      <c r="AA196" s="9"/>
      <c r="AB196" s="9"/>
    </row>
    <row r="197" spans="2:28" ht="12.75" customHeight="1">
      <c r="B197" s="13" t="s">
        <v>1713</v>
      </c>
      <c r="C197" s="320"/>
      <c r="D197" s="320"/>
      <c r="E197" s="320"/>
      <c r="F197" s="318" t="s">
        <v>3729</v>
      </c>
      <c r="G197" s="14" t="s">
        <v>3409</v>
      </c>
      <c r="H197" s="15"/>
      <c r="I197" s="16"/>
      <c r="J197" s="307"/>
      <c r="K197" s="9"/>
      <c r="L197" s="9"/>
      <c r="M197" s="9"/>
      <c r="N197" s="9"/>
      <c r="O197" s="9"/>
      <c r="P197" s="9"/>
      <c r="Q197" s="9"/>
      <c r="R197" s="9"/>
      <c r="S197" s="9"/>
      <c r="T197" s="9"/>
      <c r="U197" s="9"/>
      <c r="V197" s="9"/>
      <c r="W197" s="9"/>
      <c r="X197" s="9"/>
      <c r="Y197" s="9"/>
      <c r="Z197" s="9"/>
      <c r="AA197" s="9"/>
      <c r="AB197" s="9"/>
    </row>
    <row r="198" spans="2:28" ht="12.75" customHeight="1">
      <c r="B198" s="13" t="s">
        <v>1714</v>
      </c>
      <c r="C198" s="320"/>
      <c r="D198" s="320"/>
      <c r="E198" s="320"/>
      <c r="F198" s="318" t="s">
        <v>3730</v>
      </c>
      <c r="G198" s="14" t="s">
        <v>3409</v>
      </c>
      <c r="H198" s="15"/>
      <c r="I198" s="16"/>
      <c r="J198" s="307"/>
      <c r="K198" s="9"/>
      <c r="L198" s="9"/>
      <c r="M198" s="9"/>
      <c r="N198" s="9"/>
      <c r="O198" s="9"/>
      <c r="P198" s="9"/>
      <c r="Q198" s="9"/>
      <c r="R198" s="9"/>
      <c r="S198" s="9"/>
      <c r="T198" s="9"/>
      <c r="U198" s="9"/>
      <c r="V198" s="9"/>
      <c r="W198" s="9"/>
      <c r="X198" s="9"/>
      <c r="Y198" s="9"/>
      <c r="Z198" s="9"/>
      <c r="AA198" s="9"/>
      <c r="AB198" s="9"/>
    </row>
    <row r="199" spans="2:28" ht="12.75" customHeight="1">
      <c r="B199" s="13" t="s">
        <v>1715</v>
      </c>
      <c r="C199" s="320"/>
      <c r="D199" s="320"/>
      <c r="E199" s="320"/>
      <c r="F199" s="318" t="s">
        <v>3731</v>
      </c>
      <c r="G199" s="14" t="s">
        <v>3409</v>
      </c>
      <c r="H199" s="15"/>
      <c r="I199" s="16"/>
      <c r="J199" s="307"/>
      <c r="K199" s="9"/>
      <c r="L199" s="9"/>
      <c r="M199" s="9"/>
      <c r="N199" s="9"/>
      <c r="O199" s="9"/>
      <c r="P199" s="9"/>
      <c r="Q199" s="9"/>
      <c r="R199" s="9"/>
      <c r="S199" s="9"/>
      <c r="T199" s="9"/>
      <c r="U199" s="9"/>
      <c r="V199" s="9"/>
      <c r="W199" s="9"/>
      <c r="X199" s="9"/>
      <c r="Y199" s="9"/>
      <c r="Z199" s="9"/>
      <c r="AA199" s="9"/>
      <c r="AB199" s="9"/>
    </row>
    <row r="200" spans="2:28" ht="12.75" customHeight="1">
      <c r="B200" s="13" t="s">
        <v>1716</v>
      </c>
      <c r="C200" s="320"/>
      <c r="D200" s="320"/>
      <c r="E200" s="320"/>
      <c r="F200" s="318" t="s">
        <v>3732</v>
      </c>
      <c r="G200" s="14" t="s">
        <v>3409</v>
      </c>
      <c r="H200" s="15"/>
      <c r="I200" s="16"/>
      <c r="J200" s="307"/>
      <c r="K200" s="9"/>
      <c r="L200" s="9"/>
      <c r="M200" s="9"/>
      <c r="N200" s="9"/>
      <c r="O200" s="9"/>
      <c r="P200" s="9"/>
      <c r="Q200" s="9"/>
      <c r="R200" s="9"/>
      <c r="S200" s="9"/>
      <c r="T200" s="9"/>
      <c r="U200" s="9"/>
      <c r="V200" s="9"/>
      <c r="W200" s="9"/>
      <c r="X200" s="9"/>
      <c r="Y200" s="9"/>
      <c r="Z200" s="9"/>
      <c r="AA200" s="9"/>
      <c r="AB200" s="9"/>
    </row>
    <row r="201" ht="12.75" customHeight="1">
      <c r="F201" s="318" t="s">
        <v>3409</v>
      </c>
    </row>
    <row r="202" spans="1:11" s="11" customFormat="1" ht="12.75" customHeight="1">
      <c r="A202" s="52"/>
      <c r="B202" s="52"/>
      <c r="C202" s="52" t="s">
        <v>1673</v>
      </c>
      <c r="D202" s="52"/>
      <c r="E202" s="52"/>
      <c r="F202" s="52" t="s">
        <v>3409</v>
      </c>
      <c r="K202" s="101"/>
    </row>
    <row r="203" spans="1:9" s="11" customFormat="1" ht="12.75" customHeight="1">
      <c r="A203" s="52"/>
      <c r="B203" s="52"/>
      <c r="C203" s="52"/>
      <c r="D203" s="52"/>
      <c r="E203" s="52"/>
      <c r="F203" s="52" t="s">
        <v>3409</v>
      </c>
      <c r="H203" s="11" t="s">
        <v>1672</v>
      </c>
      <c r="I203" s="56" t="str">
        <f>IF(owner_name1="","",SUBSTITUTE(SUBSTITUTE(owner_name1,"　"," "),"   ",CHAR(10)))</f>
        <v>代表取締役 森 満</v>
      </c>
    </row>
    <row r="204" spans="1:11" s="11" customFormat="1" ht="12.75" customHeight="1">
      <c r="A204" s="13"/>
      <c r="B204" s="13"/>
      <c r="C204" s="13"/>
      <c r="D204" s="52"/>
      <c r="E204" s="13"/>
      <c r="F204" s="52" t="s">
        <v>3409</v>
      </c>
      <c r="H204" s="12" t="s">
        <v>1674</v>
      </c>
      <c r="I204" s="56" t="str">
        <f>IF(owner_name1="","",owner_name1&amp;" 様")</f>
        <v>代表取締役　森　満 様</v>
      </c>
      <c r="K204" s="101" t="s">
        <v>2534</v>
      </c>
    </row>
    <row r="205" spans="1:11" s="11" customFormat="1" ht="12.75" customHeight="1">
      <c r="A205" s="13"/>
      <c r="B205" s="13"/>
      <c r="C205" s="13"/>
      <c r="D205" s="52"/>
      <c r="E205" s="13"/>
      <c r="F205" s="52" t="s">
        <v>3409</v>
      </c>
      <c r="H205" s="11" t="s">
        <v>1671</v>
      </c>
      <c r="I205" s="56" t="str">
        <f>IF(owner_name1="","",owner_name1&amp;" 様")</f>
        <v>代表取締役　森　満 様</v>
      </c>
      <c r="J205" s="75"/>
      <c r="K205" s="101" t="s">
        <v>2530</v>
      </c>
    </row>
    <row r="206" spans="1:11" s="11" customFormat="1" ht="12.75" customHeight="1">
      <c r="A206" s="13"/>
      <c r="B206" s="13"/>
      <c r="C206" s="13"/>
      <c r="D206" s="52"/>
      <c r="E206" s="13"/>
      <c r="F206" s="52" t="s">
        <v>3409</v>
      </c>
      <c r="H206" s="11" t="s">
        <v>1670</v>
      </c>
      <c r="I206" s="56" t="str">
        <f>IF(owner_name1="","",SUBSTITUTE(SUBSTITUTE(owner_name1,"　"," "),"   ",CHAR(10))&amp;" 様")</f>
        <v>代表取締役 森 満 様</v>
      </c>
      <c r="J206" s="75"/>
      <c r="K206" s="101" t="s">
        <v>1785</v>
      </c>
    </row>
    <row r="207" spans="1:11" s="11" customFormat="1" ht="12.75" customHeight="1">
      <c r="A207" s="52"/>
      <c r="B207" s="52"/>
      <c r="C207" s="52" t="s">
        <v>1669</v>
      </c>
      <c r="D207" s="52"/>
      <c r="E207" s="52"/>
      <c r="F207" s="52" t="s">
        <v>3409</v>
      </c>
      <c r="K207" s="101"/>
    </row>
    <row r="208" spans="1:11" s="11" customFormat="1" ht="12.75" customHeight="1">
      <c r="A208" s="52"/>
      <c r="B208" s="52"/>
      <c r="C208" s="52"/>
      <c r="D208" s="52"/>
      <c r="E208" s="52"/>
      <c r="F208" s="52" t="s">
        <v>3409</v>
      </c>
      <c r="H208" s="11" t="s">
        <v>1668</v>
      </c>
      <c r="I208" s="56">
        <f>IF(owner_name2="","",SUBSTITUTE(SUBSTITUTE(owner_name2,"　"," "),"   ",CHAR(10)))</f>
      </c>
      <c r="K208" s="101"/>
    </row>
    <row r="209" spans="1:11" s="55" customFormat="1" ht="12.75" customHeight="1">
      <c r="A209" s="86"/>
      <c r="B209" s="86"/>
      <c r="C209" s="86"/>
      <c r="D209" s="86"/>
      <c r="E209" s="86"/>
      <c r="F209" s="86" t="s">
        <v>3409</v>
      </c>
      <c r="H209" s="55" t="s">
        <v>1675</v>
      </c>
      <c r="I209" s="56">
        <f>IF(owner_name2="","",owner_name2&amp;" 様")</f>
      </c>
      <c r="J209" s="308"/>
      <c r="K209" s="101" t="s">
        <v>2534</v>
      </c>
    </row>
    <row r="210" spans="1:28" s="75" customFormat="1" ht="12.75" customHeight="1">
      <c r="A210" s="133"/>
      <c r="B210" s="74"/>
      <c r="C210" s="74"/>
      <c r="D210" s="133"/>
      <c r="E210" s="74"/>
      <c r="F210" s="133" t="s">
        <v>3409</v>
      </c>
      <c r="H210" s="11" t="s">
        <v>2549</v>
      </c>
      <c r="I210" s="56">
        <f>IF(owner_name2="","",owner_name2&amp;" 様")</f>
      </c>
      <c r="K210" s="101" t="s">
        <v>2530</v>
      </c>
      <c r="N210" s="76"/>
      <c r="O210" s="76"/>
      <c r="P210" s="76"/>
      <c r="Q210" s="76"/>
      <c r="R210" s="76"/>
      <c r="S210" s="76"/>
      <c r="T210" s="76"/>
      <c r="U210" s="76"/>
      <c r="V210" s="76"/>
      <c r="W210" s="76"/>
      <c r="X210" s="76"/>
      <c r="Y210" s="76"/>
      <c r="Z210" s="76"/>
      <c r="AA210" s="76"/>
      <c r="AB210" s="76"/>
    </row>
    <row r="211" spans="1:28" s="75" customFormat="1" ht="12.75" customHeight="1">
      <c r="A211" s="133"/>
      <c r="B211" s="74"/>
      <c r="C211" s="74"/>
      <c r="D211" s="133"/>
      <c r="E211" s="74"/>
      <c r="F211" s="133" t="s">
        <v>3409</v>
      </c>
      <c r="H211" s="11" t="s">
        <v>2548</v>
      </c>
      <c r="I211" s="56">
        <f>IF(owner_name2="","",SUBSTITUTE(SUBSTITUTE(owner_name2,"　"," "),"   ",CHAR(10))&amp;" 様")</f>
      </c>
      <c r="K211" s="101" t="s">
        <v>1785</v>
      </c>
      <c r="N211" s="76"/>
      <c r="O211" s="76"/>
      <c r="P211" s="76"/>
      <c r="Q211" s="76"/>
      <c r="R211" s="76"/>
      <c r="S211" s="76"/>
      <c r="T211" s="76"/>
      <c r="U211" s="76"/>
      <c r="V211" s="76"/>
      <c r="W211" s="76"/>
      <c r="X211" s="76"/>
      <c r="Y211" s="76"/>
      <c r="Z211" s="76"/>
      <c r="AA211" s="76"/>
      <c r="AB211" s="76"/>
    </row>
    <row r="212" spans="1:11" s="11" customFormat="1" ht="12.75" customHeight="1">
      <c r="A212" s="52"/>
      <c r="B212" s="52"/>
      <c r="C212" s="52" t="s">
        <v>2547</v>
      </c>
      <c r="D212" s="52"/>
      <c r="E212" s="52"/>
      <c r="F212" s="52" t="s">
        <v>3409</v>
      </c>
      <c r="K212" s="101"/>
    </row>
    <row r="213" spans="1:11" s="11" customFormat="1" ht="12.75" customHeight="1">
      <c r="A213" s="52"/>
      <c r="B213" s="52"/>
      <c r="C213" s="52"/>
      <c r="D213" s="52"/>
      <c r="E213" s="52"/>
      <c r="F213" s="52" t="s">
        <v>3409</v>
      </c>
      <c r="H213" s="11" t="s">
        <v>2546</v>
      </c>
      <c r="I213" s="56">
        <f>IF(owner_name3="","",SUBSTITUTE(SUBSTITUTE(owner_name3,"　"," "),"   ",CHAR(10)))</f>
      </c>
      <c r="K213" s="101"/>
    </row>
    <row r="214" spans="1:11" s="11" customFormat="1" ht="12.75" customHeight="1">
      <c r="A214" s="52"/>
      <c r="B214" s="52"/>
      <c r="C214" s="52"/>
      <c r="D214" s="52"/>
      <c r="E214" s="52"/>
      <c r="F214" s="52" t="s">
        <v>3409</v>
      </c>
      <c r="H214" s="11" t="s">
        <v>1676</v>
      </c>
      <c r="I214" s="56">
        <f>IF(owner_name3="","",owner_name3&amp;" 様")</f>
      </c>
      <c r="K214" s="101" t="s">
        <v>2534</v>
      </c>
    </row>
    <row r="215" spans="1:28" s="75" customFormat="1" ht="12.75" customHeight="1">
      <c r="A215" s="133"/>
      <c r="B215" s="74"/>
      <c r="C215" s="74"/>
      <c r="D215" s="133"/>
      <c r="E215" s="74"/>
      <c r="F215" s="133" t="s">
        <v>3409</v>
      </c>
      <c r="H215" s="73" t="s">
        <v>2545</v>
      </c>
      <c r="I215" s="56">
        <f>IF(owner_name3="","",owner_name3&amp;" 様")</f>
      </c>
      <c r="K215" s="101" t="s">
        <v>2530</v>
      </c>
      <c r="N215" s="76"/>
      <c r="O215" s="76"/>
      <c r="P215" s="76"/>
      <c r="Q215" s="76"/>
      <c r="R215" s="76"/>
      <c r="S215" s="76"/>
      <c r="T215" s="76"/>
      <c r="U215" s="76"/>
      <c r="V215" s="76"/>
      <c r="W215" s="76"/>
      <c r="X215" s="76"/>
      <c r="Y215" s="76"/>
      <c r="Z215" s="76"/>
      <c r="AA215" s="76"/>
      <c r="AB215" s="76"/>
    </row>
    <row r="216" spans="1:28" s="75" customFormat="1" ht="12.75" customHeight="1">
      <c r="A216" s="133"/>
      <c r="B216" s="74"/>
      <c r="C216" s="74"/>
      <c r="D216" s="133"/>
      <c r="E216" s="74"/>
      <c r="F216" s="133" t="s">
        <v>3409</v>
      </c>
      <c r="H216" s="11" t="s">
        <v>2544</v>
      </c>
      <c r="I216" s="56">
        <f>IF(owner_name3="","",SUBSTITUTE(SUBSTITUTE(owner_name3,"　"," "),"   ",CHAR(10))&amp;" 様")</f>
      </c>
      <c r="K216" s="101" t="s">
        <v>1785</v>
      </c>
      <c r="N216" s="76"/>
      <c r="O216" s="76"/>
      <c r="P216" s="76"/>
      <c r="Q216" s="76"/>
      <c r="R216" s="76"/>
      <c r="S216" s="76"/>
      <c r="T216" s="76"/>
      <c r="U216" s="76"/>
      <c r="V216" s="76"/>
      <c r="W216" s="76"/>
      <c r="X216" s="76"/>
      <c r="Y216" s="76"/>
      <c r="Z216" s="76"/>
      <c r="AA216" s="76"/>
      <c r="AB216" s="76"/>
    </row>
    <row r="217" spans="1:11" s="11" customFormat="1" ht="12.75" customHeight="1">
      <c r="A217" s="52"/>
      <c r="B217" s="52"/>
      <c r="C217" s="52" t="s">
        <v>2543</v>
      </c>
      <c r="D217" s="52"/>
      <c r="E217" s="52"/>
      <c r="F217" s="52" t="s">
        <v>3409</v>
      </c>
      <c r="K217" s="101"/>
    </row>
    <row r="218" spans="1:11" s="11" customFormat="1" ht="12.75" customHeight="1">
      <c r="A218" s="52"/>
      <c r="B218" s="52"/>
      <c r="C218" s="52"/>
      <c r="D218" s="52"/>
      <c r="E218" s="52"/>
      <c r="F218" s="52" t="s">
        <v>3409</v>
      </c>
      <c r="H218" s="11" t="s">
        <v>1677</v>
      </c>
      <c r="I218" s="56">
        <f>IF(owner_name4="","",owner_name4&amp;" 様")</f>
      </c>
      <c r="K218" s="101" t="s">
        <v>2534</v>
      </c>
    </row>
    <row r="219" spans="1:28" s="75" customFormat="1" ht="12.75" customHeight="1">
      <c r="A219" s="133"/>
      <c r="B219" s="74"/>
      <c r="C219" s="74"/>
      <c r="D219" s="133"/>
      <c r="E219" s="74"/>
      <c r="F219" s="133" t="s">
        <v>3409</v>
      </c>
      <c r="H219" s="11" t="s">
        <v>2542</v>
      </c>
      <c r="I219" s="56">
        <f>IF(owner_name4="","",SUBSTITUTE(SUBSTITUTE(owner_name4,"　"," "),"   ",CHAR(10)))</f>
      </c>
      <c r="K219" s="101" t="s">
        <v>2532</v>
      </c>
      <c r="N219" s="76"/>
      <c r="O219" s="76"/>
      <c r="P219" s="76"/>
      <c r="Q219" s="76"/>
      <c r="R219" s="76"/>
      <c r="S219" s="76"/>
      <c r="T219" s="76"/>
      <c r="U219" s="76"/>
      <c r="V219" s="76"/>
      <c r="W219" s="76"/>
      <c r="X219" s="76"/>
      <c r="Y219" s="76"/>
      <c r="Z219" s="76"/>
      <c r="AA219" s="76"/>
      <c r="AB219" s="76"/>
    </row>
    <row r="220" spans="1:28" s="75" customFormat="1" ht="12.75" customHeight="1">
      <c r="A220" s="133"/>
      <c r="B220" s="74"/>
      <c r="C220" s="74"/>
      <c r="D220" s="133"/>
      <c r="E220" s="74"/>
      <c r="F220" s="133" t="s">
        <v>3409</v>
      </c>
      <c r="H220" s="73" t="s">
        <v>2541</v>
      </c>
      <c r="I220" s="56">
        <f>IF(owner_name4="","",owner_name4&amp;" 様")</f>
      </c>
      <c r="K220" s="101" t="s">
        <v>2530</v>
      </c>
      <c r="N220" s="76"/>
      <c r="O220" s="76"/>
      <c r="P220" s="76"/>
      <c r="Q220" s="76"/>
      <c r="R220" s="76"/>
      <c r="S220" s="76"/>
      <c r="T220" s="76"/>
      <c r="U220" s="76"/>
      <c r="V220" s="76"/>
      <c r="W220" s="76"/>
      <c r="X220" s="76"/>
      <c r="Y220" s="76"/>
      <c r="Z220" s="76"/>
      <c r="AA220" s="76"/>
      <c r="AB220" s="76"/>
    </row>
    <row r="221" spans="1:28" s="75" customFormat="1" ht="12.75" customHeight="1">
      <c r="A221" s="133"/>
      <c r="B221" s="74"/>
      <c r="C221" s="74"/>
      <c r="D221" s="133"/>
      <c r="E221" s="74"/>
      <c r="F221" s="133" t="s">
        <v>3409</v>
      </c>
      <c r="H221" s="11" t="s">
        <v>2540</v>
      </c>
      <c r="I221" s="56">
        <f>IF(owner_name4="","",SUBSTITUTE(SUBSTITUTE(owner_name4,"　"," "),"   ",CHAR(10))&amp;" 様")</f>
      </c>
      <c r="K221" s="101" t="s">
        <v>1785</v>
      </c>
      <c r="N221" s="76"/>
      <c r="O221" s="76"/>
      <c r="P221" s="76"/>
      <c r="Q221" s="76"/>
      <c r="R221" s="76"/>
      <c r="S221" s="76"/>
      <c r="T221" s="76"/>
      <c r="U221" s="76"/>
      <c r="V221" s="76"/>
      <c r="W221" s="76"/>
      <c r="X221" s="76"/>
      <c r="Y221" s="76"/>
      <c r="Z221" s="76"/>
      <c r="AA221" s="76"/>
      <c r="AB221" s="76"/>
    </row>
    <row r="222" spans="1:11" s="11" customFormat="1" ht="12.75" customHeight="1">
      <c r="A222" s="52"/>
      <c r="B222" s="52"/>
      <c r="C222" s="52" t="s">
        <v>2539</v>
      </c>
      <c r="D222" s="52"/>
      <c r="E222" s="52"/>
      <c r="F222" s="52" t="s">
        <v>3409</v>
      </c>
      <c r="K222" s="101"/>
    </row>
    <row r="223" spans="1:11" s="11" customFormat="1" ht="12.75" customHeight="1">
      <c r="A223" s="52"/>
      <c r="B223" s="52"/>
      <c r="C223" s="52"/>
      <c r="D223" s="52"/>
      <c r="E223" s="52"/>
      <c r="F223" s="52" t="s">
        <v>3409</v>
      </c>
      <c r="H223" s="11" t="s">
        <v>1678</v>
      </c>
      <c r="I223" s="56">
        <f>IF(owner_name5="","",owner_name5&amp;" 様")</f>
      </c>
      <c r="J223" s="11" t="s">
        <v>2534</v>
      </c>
      <c r="K223" s="101"/>
    </row>
    <row r="224" spans="1:28" s="75" customFormat="1" ht="12.75" customHeight="1">
      <c r="A224" s="133"/>
      <c r="B224" s="74"/>
      <c r="C224" s="74"/>
      <c r="D224" s="133"/>
      <c r="E224" s="74"/>
      <c r="F224" s="133" t="s">
        <v>3409</v>
      </c>
      <c r="H224" s="11" t="s">
        <v>2538</v>
      </c>
      <c r="I224" s="56">
        <f>IF(owner_name5="","",SUBSTITUTE(SUBSTITUTE(owner_name5,"　"," "),"   ",CHAR(10)))</f>
      </c>
      <c r="K224" s="101" t="s">
        <v>2532</v>
      </c>
      <c r="N224" s="76"/>
      <c r="O224" s="76"/>
      <c r="P224" s="76"/>
      <c r="Q224" s="76"/>
      <c r="R224" s="76"/>
      <c r="S224" s="76"/>
      <c r="T224" s="76"/>
      <c r="U224" s="76"/>
      <c r="V224" s="76"/>
      <c r="W224" s="76"/>
      <c r="X224" s="76"/>
      <c r="Y224" s="76"/>
      <c r="Z224" s="76"/>
      <c r="AA224" s="76"/>
      <c r="AB224" s="76"/>
    </row>
    <row r="225" spans="1:28" s="75" customFormat="1" ht="12.75" customHeight="1">
      <c r="A225" s="133"/>
      <c r="B225" s="74"/>
      <c r="C225" s="74"/>
      <c r="D225" s="133"/>
      <c r="E225" s="74"/>
      <c r="F225" s="133" t="s">
        <v>3409</v>
      </c>
      <c r="H225" s="73" t="s">
        <v>2537</v>
      </c>
      <c r="I225" s="56">
        <f>IF(owner_name5="","",owner_name5&amp;" 様")</f>
      </c>
      <c r="K225" s="101" t="s">
        <v>2530</v>
      </c>
      <c r="N225" s="76"/>
      <c r="O225" s="76"/>
      <c r="P225" s="76"/>
      <c r="Q225" s="76"/>
      <c r="R225" s="76"/>
      <c r="S225" s="76"/>
      <c r="T225" s="76"/>
      <c r="U225" s="76"/>
      <c r="V225" s="76"/>
      <c r="W225" s="76"/>
      <c r="X225" s="76"/>
      <c r="Y225" s="76"/>
      <c r="Z225" s="76"/>
      <c r="AA225" s="76"/>
      <c r="AB225" s="76"/>
    </row>
    <row r="226" spans="1:28" s="75" customFormat="1" ht="12.75" customHeight="1">
      <c r="A226" s="133"/>
      <c r="B226" s="74"/>
      <c r="C226" s="74"/>
      <c r="D226" s="133"/>
      <c r="E226" s="74"/>
      <c r="F226" s="133" t="s">
        <v>3409</v>
      </c>
      <c r="H226" s="11" t="s">
        <v>2536</v>
      </c>
      <c r="I226" s="56">
        <f>IF(owner_name5="","",SUBSTITUTE(SUBSTITUTE(owner_name5,"　"," "),"   ",CHAR(10))&amp;" 様")</f>
      </c>
      <c r="K226" s="101" t="s">
        <v>1785</v>
      </c>
      <c r="N226" s="76"/>
      <c r="O226" s="76"/>
      <c r="P226" s="76"/>
      <c r="Q226" s="76"/>
      <c r="R226" s="76"/>
      <c r="S226" s="76"/>
      <c r="T226" s="76"/>
      <c r="U226" s="76"/>
      <c r="V226" s="76"/>
      <c r="W226" s="76"/>
      <c r="X226" s="76"/>
      <c r="Y226" s="76"/>
      <c r="Z226" s="76"/>
      <c r="AA226" s="76"/>
      <c r="AB226" s="76"/>
    </row>
    <row r="227" spans="1:11" s="11" customFormat="1" ht="12.75" customHeight="1">
      <c r="A227" s="52"/>
      <c r="B227" s="52"/>
      <c r="C227" s="52" t="s">
        <v>2535</v>
      </c>
      <c r="D227" s="52"/>
      <c r="E227" s="52"/>
      <c r="F227" s="52" t="s">
        <v>3409</v>
      </c>
      <c r="K227" s="101"/>
    </row>
    <row r="228" spans="1:11" s="11" customFormat="1" ht="12.75" customHeight="1">
      <c r="A228" s="52"/>
      <c r="B228" s="52"/>
      <c r="C228" s="52"/>
      <c r="D228" s="52"/>
      <c r="E228" s="52"/>
      <c r="F228" s="52" t="s">
        <v>3409</v>
      </c>
      <c r="H228" s="11" t="s">
        <v>1679</v>
      </c>
      <c r="I228" s="56">
        <f>IF(owner_name6="","",owner_name6&amp;" 様")</f>
      </c>
      <c r="J228" s="11" t="s">
        <v>2534</v>
      </c>
      <c r="K228" s="101"/>
    </row>
    <row r="229" spans="1:28" s="75" customFormat="1" ht="12.75" customHeight="1">
      <c r="A229" s="133"/>
      <c r="B229" s="74"/>
      <c r="C229" s="74"/>
      <c r="D229" s="133"/>
      <c r="E229" s="74"/>
      <c r="F229" s="133" t="s">
        <v>3409</v>
      </c>
      <c r="H229" s="11" t="s">
        <v>2533</v>
      </c>
      <c r="I229" s="56">
        <f>IF(owner_name6="","",SUBSTITUTE(SUBSTITUTE(owner_name6,"　"," "),"   ",CHAR(10)))</f>
      </c>
      <c r="K229" s="101" t="s">
        <v>2532</v>
      </c>
      <c r="N229" s="76"/>
      <c r="O229" s="76"/>
      <c r="P229" s="76"/>
      <c r="Q229" s="76"/>
      <c r="R229" s="76"/>
      <c r="S229" s="76"/>
      <c r="T229" s="76"/>
      <c r="U229" s="76"/>
      <c r="V229" s="76"/>
      <c r="W229" s="76"/>
      <c r="X229" s="76"/>
      <c r="Y229" s="76"/>
      <c r="Z229" s="76"/>
      <c r="AA229" s="76"/>
      <c r="AB229" s="76"/>
    </row>
    <row r="230" spans="1:28" s="75" customFormat="1" ht="12.75" customHeight="1">
      <c r="A230" s="133"/>
      <c r="B230" s="74"/>
      <c r="C230" s="74"/>
      <c r="D230" s="133"/>
      <c r="E230" s="74"/>
      <c r="F230" s="133" t="s">
        <v>3409</v>
      </c>
      <c r="H230" s="73" t="s">
        <v>2531</v>
      </c>
      <c r="I230" s="56">
        <f>IF(owner_name6="","",owner_name6&amp;" 様")</f>
      </c>
      <c r="K230" s="101" t="s">
        <v>2530</v>
      </c>
      <c r="N230" s="76"/>
      <c r="O230" s="76"/>
      <c r="P230" s="76"/>
      <c r="Q230" s="76"/>
      <c r="R230" s="76"/>
      <c r="S230" s="76"/>
      <c r="T230" s="76"/>
      <c r="U230" s="76"/>
      <c r="V230" s="76"/>
      <c r="W230" s="76"/>
      <c r="X230" s="76"/>
      <c r="Y230" s="76"/>
      <c r="Z230" s="76"/>
      <c r="AA230" s="76"/>
      <c r="AB230" s="76"/>
    </row>
    <row r="231" spans="1:28" s="75" customFormat="1" ht="12.75" customHeight="1">
      <c r="A231" s="74"/>
      <c r="B231" s="74"/>
      <c r="C231" s="74"/>
      <c r="D231" s="133"/>
      <c r="E231" s="74"/>
      <c r="F231" s="133" t="s">
        <v>3409</v>
      </c>
      <c r="H231" s="11" t="s">
        <v>2529</v>
      </c>
      <c r="I231" s="56">
        <f>IF(owner_name6="","",SUBSTITUTE(SUBSTITUTE(owner_name6,"　"," "),"   ",CHAR(10))&amp;" 様")</f>
      </c>
      <c r="K231" s="101" t="s">
        <v>1785</v>
      </c>
      <c r="N231" s="76"/>
      <c r="O231" s="76"/>
      <c r="P231" s="76"/>
      <c r="Q231" s="76"/>
      <c r="R231" s="76"/>
      <c r="S231" s="76"/>
      <c r="T231" s="76"/>
      <c r="U231" s="76"/>
      <c r="V231" s="76"/>
      <c r="W231" s="76"/>
      <c r="X231" s="76"/>
      <c r="Y231" s="76"/>
      <c r="Z231" s="76"/>
      <c r="AA231" s="76"/>
      <c r="AB231" s="76"/>
    </row>
    <row r="232" spans="1:13" s="11" customFormat="1" ht="12.75" customHeight="1">
      <c r="A232" s="52"/>
      <c r="B232" s="52"/>
      <c r="C232" s="52"/>
      <c r="D232" s="52"/>
      <c r="E232" s="52"/>
      <c r="F232" s="52" t="s">
        <v>3409</v>
      </c>
      <c r="L232" s="101"/>
      <c r="M232" s="101"/>
    </row>
    <row r="233" spans="2:10" ht="12.75" customHeight="1">
      <c r="B233" s="49" t="s">
        <v>2635</v>
      </c>
      <c r="F233" s="49" t="s">
        <v>3409</v>
      </c>
      <c r="H233" s="4" t="s">
        <v>1348</v>
      </c>
      <c r="I233" s="20" t="str">
        <f>cst_owner_name1__add_sp3code_sama&amp;CHAR(10)&amp;cst_owner_name2__add_sp3code_sama&amp;CHAR(10)&amp;cst_owner_name3__add_sp3code_sama&amp;CHAR(10)&amp;cst_owner_name4__add_sp3code_sama&amp;CHAR(10)&amp;cst_owner_name5__add_sp3code_sama&amp;CHAR(10)&amp;cst_owner_name6__add_sp3code_sama</f>
        <v>代表取締役 森 満 様
</v>
      </c>
      <c r="J233" s="4" t="s">
        <v>1349</v>
      </c>
    </row>
    <row r="234" spans="2:10" ht="12.75" customHeight="1">
      <c r="B234" s="49" t="s">
        <v>1351</v>
      </c>
      <c r="F234" s="49" t="s">
        <v>3409</v>
      </c>
      <c r="H234" s="4" t="s">
        <v>1352</v>
      </c>
      <c r="I234" s="20" t="str">
        <f>cst_owner_name1__add_sp3code&amp;CHAR(10)&amp;cst_owner_name2__add_sp3code&amp;CHAR(10)&amp;cst_owner_name3__add_sp3code&amp;CHAR(10)&amp;cst_owner_name4__add_sp3code&amp;CHAR(10)&amp;cst_owner_name5__add_sp3code&amp;CHAR(10)&amp;cst_owner_name6__add_sp3code</f>
        <v>代表取締役 森 満
</v>
      </c>
      <c r="J234" s="4" t="s">
        <v>1349</v>
      </c>
    </row>
    <row r="235" spans="6:8" ht="12.75" customHeight="1">
      <c r="F235" s="318" t="s">
        <v>3409</v>
      </c>
      <c r="H235" s="10"/>
    </row>
    <row r="236" spans="6:8" ht="12.75" customHeight="1">
      <c r="F236" s="318" t="s">
        <v>3409</v>
      </c>
      <c r="H236" s="10" t="s">
        <v>2847</v>
      </c>
    </row>
    <row r="237" spans="6:8" ht="12.75" customHeight="1">
      <c r="F237" s="318" t="s">
        <v>3409</v>
      </c>
      <c r="H237" s="10"/>
    </row>
    <row r="238" spans="1:8" ht="12.75" customHeight="1">
      <c r="A238" s="49" t="s">
        <v>2159</v>
      </c>
      <c r="F238" s="318" t="s">
        <v>3409</v>
      </c>
      <c r="H238" s="10"/>
    </row>
    <row r="239" spans="5:9" ht="12.75" customHeight="1">
      <c r="E239" s="49" t="s">
        <v>1727</v>
      </c>
      <c r="F239" s="318" t="s">
        <v>3733</v>
      </c>
      <c r="G239" s="7"/>
      <c r="H239" s="4" t="s">
        <v>604</v>
      </c>
      <c r="I239" s="20">
        <f>IF(shinsei_APPLICANT_CORP="","",shinsei_APPLICANT_CORP)</f>
      </c>
    </row>
    <row r="240" spans="5:9" ht="12.75" customHeight="1">
      <c r="E240" s="49" t="s">
        <v>2160</v>
      </c>
      <c r="F240" s="318" t="s">
        <v>3734</v>
      </c>
      <c r="G240" s="7"/>
      <c r="H240" s="4" t="s">
        <v>605</v>
      </c>
      <c r="I240" s="20">
        <f>IF(shinsei_APPLICANT_NAME_KANA="","",shinsei_APPLICANT_NAME_KANA)</f>
      </c>
    </row>
    <row r="241" spans="5:9" ht="12.75" customHeight="1">
      <c r="E241" s="49" t="s">
        <v>2076</v>
      </c>
      <c r="F241" s="318" t="s">
        <v>3735</v>
      </c>
      <c r="G241" s="7"/>
      <c r="H241" s="4" t="s">
        <v>607</v>
      </c>
      <c r="I241" s="20">
        <f>IF(shinsei_APPLICANT_POST="","",shinsei_APPLICANT_POST)</f>
      </c>
    </row>
    <row r="242" spans="5:9" ht="12.75" customHeight="1">
      <c r="E242" s="49" t="s">
        <v>2077</v>
      </c>
      <c r="F242" s="318" t="s">
        <v>3736</v>
      </c>
      <c r="G242" s="7" t="s">
        <v>3737</v>
      </c>
      <c r="H242" s="4" t="s">
        <v>608</v>
      </c>
      <c r="I242" s="20" t="str">
        <f>IF(shinsei_APPLICANT_NAME="","",shinsei_APPLICANT_NAME)</f>
        <v>株式会社　プラスワン　代表取締役　森　満</v>
      </c>
    </row>
    <row r="243" spans="5:9" ht="12.75" customHeight="1">
      <c r="E243" s="49" t="s">
        <v>2952</v>
      </c>
      <c r="F243" s="318" t="s">
        <v>3738</v>
      </c>
      <c r="G243" s="7"/>
      <c r="H243" s="4" t="s">
        <v>609</v>
      </c>
      <c r="I243" s="20">
        <f>IF(shinsei_APPLICANT_ZIP="","",shinsei_APPLICANT_ZIP)</f>
      </c>
    </row>
    <row r="244" spans="5:9" ht="12.75" customHeight="1">
      <c r="E244" s="49" t="s">
        <v>1009</v>
      </c>
      <c r="F244" s="318" t="s">
        <v>3739</v>
      </c>
      <c r="G244" s="7"/>
      <c r="H244" s="4" t="s">
        <v>610</v>
      </c>
      <c r="I244" s="20">
        <f>IF(shinsei_APPLICANT__address="","",shinsei_APPLICANT__address)</f>
      </c>
    </row>
    <row r="245" spans="5:9" ht="12.75" customHeight="1">
      <c r="E245" s="49" t="s">
        <v>2473</v>
      </c>
      <c r="F245" s="318" t="s">
        <v>3740</v>
      </c>
      <c r="G245" s="7"/>
      <c r="H245" s="4" t="s">
        <v>611</v>
      </c>
      <c r="I245" s="20">
        <f>IF(shinsei_APPLICANT_TEL="","",shinsei_APPLICANT_TEL)</f>
      </c>
    </row>
    <row r="246" spans="6:8" ht="12.75" customHeight="1">
      <c r="F246" s="318" t="s">
        <v>3409</v>
      </c>
      <c r="H246" s="10"/>
    </row>
    <row r="247" spans="2:9" ht="12.75" customHeight="1">
      <c r="B247" s="49" t="s">
        <v>606</v>
      </c>
      <c r="F247" s="318" t="s">
        <v>3409</v>
      </c>
      <c r="H247" s="4" t="s">
        <v>612</v>
      </c>
      <c r="I247" s="4" t="str">
        <f>IF(shinsei_APPLICANT_NAME="","",shinsei_APPLICANT_CORP&amp;shinsei_APPLICANT_POST&amp;shinsei_APPLICANT_NAME)</f>
        <v>株式会社　プラスワン　代表取締役　森　満</v>
      </c>
    </row>
    <row r="248" spans="6:8" ht="12.75" customHeight="1">
      <c r="F248" s="318" t="s">
        <v>3409</v>
      </c>
      <c r="H248" s="10"/>
    </row>
    <row r="249" spans="2:8" ht="12.75" customHeight="1">
      <c r="B249" s="49" t="s">
        <v>2074</v>
      </c>
      <c r="F249" s="318" t="s">
        <v>3409</v>
      </c>
      <c r="H249" s="10"/>
    </row>
    <row r="250" spans="5:9" ht="12.75" customHeight="1">
      <c r="E250" s="49" t="s">
        <v>1727</v>
      </c>
      <c r="F250" s="318" t="s">
        <v>3741</v>
      </c>
      <c r="G250" s="7" t="s">
        <v>3742</v>
      </c>
      <c r="H250" s="4" t="s">
        <v>1035</v>
      </c>
      <c r="I250" s="20" t="str">
        <f>IF(shinsei_NUSHI_CORP="","",shinsei_NUSHI_CORP)</f>
        <v>株式会社　プラスワン　</v>
      </c>
    </row>
    <row r="251" spans="5:9" ht="12.75" customHeight="1">
      <c r="E251" s="49" t="s">
        <v>2075</v>
      </c>
      <c r="F251" s="318" t="s">
        <v>3743</v>
      </c>
      <c r="G251" s="7" t="s">
        <v>3744</v>
      </c>
      <c r="H251" s="4" t="s">
        <v>1036</v>
      </c>
      <c r="I251" s="20" t="str">
        <f>IF(shinsei_NUSHI_NAME_KANA="","",shinsei_NUSHI_NAME_KANA)</f>
        <v>ｶﾌﾞｼｷｶﾞｲｼｬ ﾌﾟﾗｽﾜﾝ   ﾀﾞｲﾋｮｳﾄﾘｼﾏﾘﾔｸ  ﾓﾘ ﾐﾂﾙ</v>
      </c>
    </row>
    <row r="252" spans="5:9" ht="12.75" customHeight="1">
      <c r="E252" s="49" t="s">
        <v>2076</v>
      </c>
      <c r="F252" s="318" t="s">
        <v>3745</v>
      </c>
      <c r="G252" s="7"/>
      <c r="H252" s="4" t="s">
        <v>1037</v>
      </c>
      <c r="I252" s="20">
        <f>IF(shinsei_NUSHI_POST="","",shinsei_NUSHI_POST)</f>
      </c>
    </row>
    <row r="253" spans="5:9" ht="12.75" customHeight="1">
      <c r="E253" s="49" t="s">
        <v>2077</v>
      </c>
      <c r="F253" s="318" t="s">
        <v>3746</v>
      </c>
      <c r="G253" s="7" t="s">
        <v>3727</v>
      </c>
      <c r="H253" s="4" t="s">
        <v>1038</v>
      </c>
      <c r="I253" s="20" t="str">
        <f>IF(shinsei_NUSHI_NAME="","",shinsei_NUSHI_NAME)</f>
        <v>代表取締役　森　満</v>
      </c>
    </row>
    <row r="254" spans="5:9" ht="12.75" customHeight="1">
      <c r="E254" s="49" t="s">
        <v>2952</v>
      </c>
      <c r="F254" s="318" t="s">
        <v>3747</v>
      </c>
      <c r="G254" s="7" t="s">
        <v>3748</v>
      </c>
      <c r="H254" s="4" t="s">
        <v>1039</v>
      </c>
      <c r="I254" s="20" t="str">
        <f>IF(shinsei_NUSHI_POST_CODE="","",shinsei_NUSHI_POST_CODE)</f>
        <v>661-0025</v>
      </c>
    </row>
    <row r="255" spans="5:9" ht="12.75" customHeight="1">
      <c r="E255" s="49" t="s">
        <v>1009</v>
      </c>
      <c r="F255" s="318" t="s">
        <v>3749</v>
      </c>
      <c r="G255" s="7" t="s">
        <v>3750</v>
      </c>
      <c r="H255" s="4" t="s">
        <v>1040</v>
      </c>
      <c r="I255" s="20" t="str">
        <f>IF(shinsei_NUSHI__address="","",shinsei_NUSHI__address)</f>
        <v>兵庫県尼崎市立花町1丁目23-1 Plus Oneﾋﾞﾙ2階</v>
      </c>
    </row>
    <row r="256" spans="5:9" ht="12.75" customHeight="1">
      <c r="E256" s="49" t="s">
        <v>2473</v>
      </c>
      <c r="F256" s="318" t="s">
        <v>3751</v>
      </c>
      <c r="G256" s="7" t="s">
        <v>3752</v>
      </c>
      <c r="H256" s="4" t="s">
        <v>1041</v>
      </c>
      <c r="I256" s="20" t="str">
        <f>IF(shinsei_NUSHI_TEL="","",shinsei_NUSHI_TEL)</f>
        <v>06-6424-6120</v>
      </c>
    </row>
    <row r="257" spans="6:8" ht="12.75" customHeight="1">
      <c r="F257" s="318" t="s">
        <v>3409</v>
      </c>
      <c r="H257" s="10"/>
    </row>
    <row r="258" spans="2:8" ht="12.75" customHeight="1">
      <c r="B258" s="49" t="s">
        <v>2333</v>
      </c>
      <c r="F258" s="318" t="s">
        <v>3409</v>
      </c>
      <c r="H258" s="10"/>
    </row>
    <row r="259" spans="5:9" ht="12.75" customHeight="1">
      <c r="E259" s="49" t="s">
        <v>1727</v>
      </c>
      <c r="F259" s="318" t="s">
        <v>3753</v>
      </c>
      <c r="G259" s="7"/>
      <c r="H259" s="4" t="s">
        <v>1042</v>
      </c>
      <c r="I259" s="20">
        <f>IF(shinsei_owner2_CORP="","",shinsei_owner2_CORP)</f>
      </c>
    </row>
    <row r="260" spans="5:9" ht="12.75" customHeight="1">
      <c r="E260" s="49" t="s">
        <v>2075</v>
      </c>
      <c r="F260" s="318" t="s">
        <v>2334</v>
      </c>
      <c r="G260" s="7"/>
      <c r="H260" s="4" t="s">
        <v>910</v>
      </c>
      <c r="I260" s="20">
        <f>IF(shinsei_owner2_NAME_KANA="","",shinsei_owner2_NAME_KANA)</f>
      </c>
    </row>
    <row r="261" spans="5:9" ht="12.75" customHeight="1">
      <c r="E261" s="49" t="s">
        <v>2076</v>
      </c>
      <c r="F261" s="318" t="s">
        <v>2335</v>
      </c>
      <c r="G261" s="7"/>
      <c r="H261" s="4" t="s">
        <v>911</v>
      </c>
      <c r="I261" s="20">
        <f>IF(shinsei_owner2_POST="","",shinsei_owner2_POST)</f>
      </c>
    </row>
    <row r="262" spans="5:9" ht="12.75" customHeight="1">
      <c r="E262" s="49" t="s">
        <v>2077</v>
      </c>
      <c r="F262" s="318" t="s">
        <v>2336</v>
      </c>
      <c r="G262" s="7"/>
      <c r="H262" s="4" t="s">
        <v>912</v>
      </c>
      <c r="I262" s="20">
        <f>IF(shinsei_owner2_NAME="","",shinsei_owner2_NAME)</f>
      </c>
    </row>
    <row r="263" spans="5:9" ht="12.75" customHeight="1">
      <c r="E263" s="49" t="s">
        <v>2952</v>
      </c>
      <c r="F263" s="318" t="s">
        <v>2337</v>
      </c>
      <c r="G263" s="7"/>
      <c r="H263" s="4" t="s">
        <v>913</v>
      </c>
      <c r="I263" s="20">
        <f>IF(shinsei_owner2_POST_CODE="","",shinsei_owner2_POST_CODE)</f>
      </c>
    </row>
    <row r="264" spans="5:9" ht="12.75" customHeight="1">
      <c r="E264" s="49" t="s">
        <v>1009</v>
      </c>
      <c r="F264" s="318" t="s">
        <v>2338</v>
      </c>
      <c r="G264" s="7"/>
      <c r="H264" s="4" t="s">
        <v>914</v>
      </c>
      <c r="I264" s="20">
        <f>IF(shinsei_owner2__address="","",shinsei_owner2__address)</f>
      </c>
    </row>
    <row r="265" spans="5:9" ht="12.75" customHeight="1">
      <c r="E265" s="49" t="s">
        <v>2473</v>
      </c>
      <c r="F265" s="318" t="s">
        <v>2339</v>
      </c>
      <c r="G265" s="7"/>
      <c r="H265" s="4" t="s">
        <v>915</v>
      </c>
      <c r="I265" s="20">
        <f>IF(shinsei_owner2_TEL="","",shinsei_owner2_TEL)</f>
      </c>
    </row>
    <row r="266" spans="6:8" ht="12.75" customHeight="1">
      <c r="F266" s="318" t="s">
        <v>3409</v>
      </c>
      <c r="H266" s="10"/>
    </row>
    <row r="267" spans="2:8" ht="12.75" customHeight="1">
      <c r="B267" s="49" t="s">
        <v>3073</v>
      </c>
      <c r="F267" s="318" t="s">
        <v>3409</v>
      </c>
      <c r="H267" s="10"/>
    </row>
    <row r="268" spans="5:9" ht="12.75" customHeight="1">
      <c r="E268" s="49" t="s">
        <v>1727</v>
      </c>
      <c r="F268" s="318" t="s">
        <v>3074</v>
      </c>
      <c r="G268" s="7"/>
      <c r="H268" s="4" t="s">
        <v>916</v>
      </c>
      <c r="I268" s="20">
        <f>IF(shinsei_owner3_CORP="","",shinsei_owner3_CORP)</f>
      </c>
    </row>
    <row r="269" spans="5:9" ht="12.75" customHeight="1">
      <c r="E269" s="49" t="s">
        <v>2075</v>
      </c>
      <c r="F269" s="318" t="s">
        <v>3075</v>
      </c>
      <c r="G269" s="7"/>
      <c r="H269" s="4" t="s">
        <v>917</v>
      </c>
      <c r="I269" s="20">
        <f>IF(shinsei_owner3_NAME_KANA="","",shinsei_owner3_NAME_KANA)</f>
      </c>
    </row>
    <row r="270" spans="5:9" ht="12.75" customHeight="1">
      <c r="E270" s="49" t="s">
        <v>2076</v>
      </c>
      <c r="F270" s="318" t="s">
        <v>3076</v>
      </c>
      <c r="G270" s="7"/>
      <c r="H270" s="4" t="s">
        <v>918</v>
      </c>
      <c r="I270" s="20">
        <f>IF(shinsei_owner3_POST="","",shinsei_owner3_POST)</f>
      </c>
    </row>
    <row r="271" spans="5:9" ht="12.75" customHeight="1">
      <c r="E271" s="49" t="s">
        <v>2077</v>
      </c>
      <c r="F271" s="318" t="s">
        <v>3077</v>
      </c>
      <c r="G271" s="7"/>
      <c r="H271" s="4" t="s">
        <v>919</v>
      </c>
      <c r="I271" s="20">
        <f>IF(shinsei_owner3_NAME="","",shinsei_owner3_NAME)</f>
      </c>
    </row>
    <row r="272" spans="5:9" ht="12.75" customHeight="1">
      <c r="E272" s="49" t="s">
        <v>2952</v>
      </c>
      <c r="F272" s="318" t="s">
        <v>3078</v>
      </c>
      <c r="G272" s="7"/>
      <c r="H272" s="4" t="s">
        <v>920</v>
      </c>
      <c r="I272" s="20">
        <f>IF(shinsei_owner3_POST_CODE="","",shinsei_owner3_POST_CODE)</f>
      </c>
    </row>
    <row r="273" spans="5:9" ht="12.75" customHeight="1">
      <c r="E273" s="49" t="s">
        <v>1009</v>
      </c>
      <c r="F273" s="318" t="s">
        <v>3079</v>
      </c>
      <c r="G273" s="7"/>
      <c r="H273" s="4" t="s">
        <v>921</v>
      </c>
      <c r="I273" s="20">
        <f>IF(shinsei_owner3__address="","",shinsei_owner3__address)</f>
      </c>
    </row>
    <row r="274" spans="5:9" ht="12.75" customHeight="1">
      <c r="E274" s="49" t="s">
        <v>2473</v>
      </c>
      <c r="F274" s="318" t="s">
        <v>3080</v>
      </c>
      <c r="G274" s="7"/>
      <c r="H274" s="4" t="s">
        <v>922</v>
      </c>
      <c r="I274" s="20">
        <f>IF(shinsei_owner3_TEL="","",shinsei_owner3_TEL)</f>
      </c>
    </row>
    <row r="275" spans="6:8" ht="12.75" customHeight="1">
      <c r="F275" s="318" t="s">
        <v>3409</v>
      </c>
      <c r="H275" s="10"/>
    </row>
    <row r="276" spans="2:8" ht="12.75" customHeight="1">
      <c r="B276" s="49" t="s">
        <v>3081</v>
      </c>
      <c r="F276" s="318" t="s">
        <v>3409</v>
      </c>
      <c r="H276" s="10"/>
    </row>
    <row r="277" spans="5:9" ht="12.75" customHeight="1">
      <c r="E277" s="49" t="s">
        <v>1727</v>
      </c>
      <c r="F277" s="318" t="s">
        <v>3082</v>
      </c>
      <c r="G277" s="7"/>
      <c r="H277" s="4" t="s">
        <v>923</v>
      </c>
      <c r="I277" s="20">
        <f>IF(shinsei_owner4_CORP="","",shinsei_owner4_CORP)</f>
      </c>
    </row>
    <row r="278" spans="5:9" ht="12.75" customHeight="1">
      <c r="E278" s="49" t="s">
        <v>2075</v>
      </c>
      <c r="F278" s="318" t="s">
        <v>3083</v>
      </c>
      <c r="G278" s="7"/>
      <c r="H278" s="4" t="s">
        <v>924</v>
      </c>
      <c r="I278" s="20">
        <f>IF(shinsei_owner4_NAME_KANA="","",shinsei_owner4_NAME_KANA)</f>
      </c>
    </row>
    <row r="279" spans="5:9" ht="12.75" customHeight="1">
      <c r="E279" s="49" t="s">
        <v>2076</v>
      </c>
      <c r="F279" s="318" t="s">
        <v>3084</v>
      </c>
      <c r="G279" s="7"/>
      <c r="H279" s="4" t="s">
        <v>925</v>
      </c>
      <c r="I279" s="20">
        <f>IF(shinsei_owner4_POST="","",shinsei_owner4_POST)</f>
      </c>
    </row>
    <row r="280" spans="5:9" ht="12.75" customHeight="1">
      <c r="E280" s="49" t="s">
        <v>2077</v>
      </c>
      <c r="F280" s="318" t="s">
        <v>3085</v>
      </c>
      <c r="G280" s="7"/>
      <c r="H280" s="4" t="s">
        <v>926</v>
      </c>
      <c r="I280" s="20">
        <f>IF(shinsei_owner4_NAME="","",shinsei_owner4_NAME)</f>
      </c>
    </row>
    <row r="281" spans="5:9" ht="12.75" customHeight="1">
      <c r="E281" s="49" t="s">
        <v>2952</v>
      </c>
      <c r="F281" s="318" t="s">
        <v>3086</v>
      </c>
      <c r="G281" s="7"/>
      <c r="H281" s="4" t="s">
        <v>927</v>
      </c>
      <c r="I281" s="20">
        <f>IF(shinsei_owner4_POST_CODE="","",shinsei_owner4_POST_CODE)</f>
      </c>
    </row>
    <row r="282" spans="5:9" ht="12.75" customHeight="1">
      <c r="E282" s="49" t="s">
        <v>1009</v>
      </c>
      <c r="F282" s="318" t="s">
        <v>3087</v>
      </c>
      <c r="G282" s="7"/>
      <c r="H282" s="4" t="s">
        <v>928</v>
      </c>
      <c r="I282" s="20">
        <f>IF(shinsei_owner4__address="","",shinsei_owner4__address)</f>
      </c>
    </row>
    <row r="283" spans="5:9" ht="12.75" customHeight="1">
      <c r="E283" s="49" t="s">
        <v>2473</v>
      </c>
      <c r="F283" s="318" t="s">
        <v>3088</v>
      </c>
      <c r="G283" s="7"/>
      <c r="H283" s="4" t="s">
        <v>929</v>
      </c>
      <c r="I283" s="20">
        <f>IF(shinsei_owner4_TEL="","",shinsei_owner4_TEL)</f>
      </c>
    </row>
    <row r="284" spans="6:8" ht="12.75" customHeight="1">
      <c r="F284" s="318" t="s">
        <v>3409</v>
      </c>
      <c r="H284" s="10"/>
    </row>
    <row r="285" spans="2:8" ht="12.75" customHeight="1">
      <c r="B285" s="49" t="s">
        <v>3089</v>
      </c>
      <c r="F285" s="318" t="s">
        <v>3409</v>
      </c>
      <c r="H285" s="10"/>
    </row>
    <row r="286" spans="5:9" ht="12.75" customHeight="1">
      <c r="E286" s="49" t="s">
        <v>1727</v>
      </c>
      <c r="F286" s="318" t="s">
        <v>3090</v>
      </c>
      <c r="G286" s="7"/>
      <c r="H286" s="4" t="s">
        <v>930</v>
      </c>
      <c r="I286" s="20">
        <f>IF(shinsei_owner5_CORP="","",shinsei_owner5_CORP)</f>
      </c>
    </row>
    <row r="287" spans="5:9" ht="12.75" customHeight="1">
      <c r="E287" s="49" t="s">
        <v>2075</v>
      </c>
      <c r="F287" s="318" t="s">
        <v>3091</v>
      </c>
      <c r="G287" s="7"/>
      <c r="H287" s="4" t="s">
        <v>931</v>
      </c>
      <c r="I287" s="20">
        <f>IF(shinsei_owner5_NAME_KANA="","",shinsei_owner5_NAME_KANA)</f>
      </c>
    </row>
    <row r="288" spans="5:9" ht="12.75" customHeight="1">
      <c r="E288" s="49" t="s">
        <v>2076</v>
      </c>
      <c r="F288" s="318" t="s">
        <v>3092</v>
      </c>
      <c r="G288" s="7"/>
      <c r="H288" s="4" t="s">
        <v>932</v>
      </c>
      <c r="I288" s="20">
        <f>IF(shinsei_owner5_POST="","",shinsei_owner5_POST)</f>
      </c>
    </row>
    <row r="289" spans="5:9" ht="12.75" customHeight="1">
      <c r="E289" s="49" t="s">
        <v>2077</v>
      </c>
      <c r="F289" s="318" t="s">
        <v>3093</v>
      </c>
      <c r="G289" s="7"/>
      <c r="H289" s="4" t="s">
        <v>933</v>
      </c>
      <c r="I289" s="20">
        <f>IF(shinsei_owner5_NAME="","",shinsei_owner5_NAME)</f>
      </c>
    </row>
    <row r="290" spans="5:9" ht="12.75" customHeight="1">
      <c r="E290" s="49" t="s">
        <v>2952</v>
      </c>
      <c r="F290" s="318" t="s">
        <v>3094</v>
      </c>
      <c r="G290" s="7"/>
      <c r="H290" s="4" t="s">
        <v>934</v>
      </c>
      <c r="I290" s="20">
        <f>IF(shinsei_owner5_POST_CODE="","",shinsei_owner5_POST_CODE)</f>
      </c>
    </row>
    <row r="291" spans="5:9" ht="12.75" customHeight="1">
      <c r="E291" s="49" t="s">
        <v>1009</v>
      </c>
      <c r="F291" s="318" t="s">
        <v>3095</v>
      </c>
      <c r="G291" s="7"/>
      <c r="H291" s="4" t="s">
        <v>935</v>
      </c>
      <c r="I291" s="20">
        <f>IF(shinsei_owner5__address="","",shinsei_owner5__address)</f>
      </c>
    </row>
    <row r="292" spans="5:9" ht="12.75" customHeight="1">
      <c r="E292" s="49" t="s">
        <v>2473</v>
      </c>
      <c r="F292" s="318" t="s">
        <v>3096</v>
      </c>
      <c r="G292" s="7"/>
      <c r="H292" s="4" t="s">
        <v>936</v>
      </c>
      <c r="I292" s="20">
        <f>IF(shinsei_owner5_TEL="","",shinsei_owner5_TEL)</f>
      </c>
    </row>
    <row r="293" spans="6:8" ht="12.75" customHeight="1">
      <c r="F293" s="318" t="s">
        <v>3409</v>
      </c>
      <c r="H293" s="10"/>
    </row>
    <row r="294" spans="2:8" ht="12.75" customHeight="1">
      <c r="B294" s="49" t="s">
        <v>3097</v>
      </c>
      <c r="F294" s="318" t="s">
        <v>3409</v>
      </c>
      <c r="H294" s="10"/>
    </row>
    <row r="295" spans="5:9" ht="12.75" customHeight="1">
      <c r="E295" s="49" t="s">
        <v>1727</v>
      </c>
      <c r="F295" s="318" t="s">
        <v>3098</v>
      </c>
      <c r="G295" s="7"/>
      <c r="H295" s="4" t="s">
        <v>937</v>
      </c>
      <c r="I295" s="20">
        <f>IF(shinsei_owner6_CORP="","",shinsei_owner6_CORP)</f>
      </c>
    </row>
    <row r="296" spans="5:9" ht="12.75" customHeight="1">
      <c r="E296" s="49" t="s">
        <v>2075</v>
      </c>
      <c r="F296" s="318" t="s">
        <v>3099</v>
      </c>
      <c r="G296" s="7"/>
      <c r="H296" s="4" t="s">
        <v>938</v>
      </c>
      <c r="I296" s="20">
        <f>IF(shinsei_owner6_NAME_KANA="","",shinsei_owner6_NAME_KANA)</f>
      </c>
    </row>
    <row r="297" spans="5:9" ht="12.75" customHeight="1">
      <c r="E297" s="49" t="s">
        <v>2076</v>
      </c>
      <c r="F297" s="318" t="s">
        <v>3100</v>
      </c>
      <c r="G297" s="7"/>
      <c r="H297" s="4" t="s">
        <v>939</v>
      </c>
      <c r="I297" s="20">
        <f>IF(shinsei_owner6_POST="","",shinsei_owner6_POST)</f>
      </c>
    </row>
    <row r="298" spans="5:9" ht="12.75" customHeight="1">
      <c r="E298" s="49" t="s">
        <v>2077</v>
      </c>
      <c r="F298" s="318" t="s">
        <v>3101</v>
      </c>
      <c r="G298" s="7"/>
      <c r="H298" s="4" t="s">
        <v>940</v>
      </c>
      <c r="I298" s="20">
        <f>IF(shinsei_owner6_NAME="","",shinsei_owner6_NAME)</f>
      </c>
    </row>
    <row r="299" spans="5:9" ht="12.75" customHeight="1">
      <c r="E299" s="49" t="s">
        <v>2952</v>
      </c>
      <c r="F299" s="318" t="s">
        <v>3102</v>
      </c>
      <c r="G299" s="7"/>
      <c r="H299" s="4" t="s">
        <v>941</v>
      </c>
      <c r="I299" s="20">
        <f>IF(shinsei_owner6_POST_CODE="","",shinsei_owner6_POST_CODE)</f>
      </c>
    </row>
    <row r="300" spans="5:9" ht="12.75" customHeight="1">
      <c r="E300" s="49" t="s">
        <v>1009</v>
      </c>
      <c r="F300" s="318" t="s">
        <v>3103</v>
      </c>
      <c r="G300" s="7"/>
      <c r="H300" s="4" t="s">
        <v>942</v>
      </c>
      <c r="I300" s="20">
        <f>IF(shinsei_owner6__address="","",shinsei_owner6__address)</f>
      </c>
    </row>
    <row r="301" spans="5:9" ht="12.75" customHeight="1">
      <c r="E301" s="49" t="s">
        <v>2473</v>
      </c>
      <c r="F301" s="318" t="s">
        <v>3104</v>
      </c>
      <c r="G301" s="7"/>
      <c r="H301" s="4" t="s">
        <v>2369</v>
      </c>
      <c r="I301" s="20">
        <f>IF(shinsei_owner6_TEL="","",shinsei_owner6_TEL)</f>
      </c>
    </row>
    <row r="302" spans="6:8" ht="12.75" customHeight="1">
      <c r="F302" s="318" t="s">
        <v>3409</v>
      </c>
      <c r="H302" s="10"/>
    </row>
    <row r="303" spans="2:8" ht="12.75" customHeight="1">
      <c r="B303" s="49" t="s">
        <v>2108</v>
      </c>
      <c r="F303" s="318" t="s">
        <v>3409</v>
      </c>
      <c r="H303" s="10"/>
    </row>
    <row r="304" spans="5:9" ht="12.75" customHeight="1">
      <c r="E304" s="49" t="s">
        <v>1727</v>
      </c>
      <c r="F304" s="318" t="s">
        <v>2109</v>
      </c>
      <c r="G304" s="7"/>
      <c r="H304" s="4" t="s">
        <v>2370</v>
      </c>
      <c r="I304" s="20">
        <f>IF(shinsei_owner7_CORP="","",shinsei_owner7_CORP)</f>
      </c>
    </row>
    <row r="305" spans="5:9" ht="12.75" customHeight="1">
      <c r="E305" s="49" t="s">
        <v>2075</v>
      </c>
      <c r="F305" s="318" t="s">
        <v>2110</v>
      </c>
      <c r="G305" s="7"/>
      <c r="H305" s="4" t="s">
        <v>2371</v>
      </c>
      <c r="I305" s="20">
        <f>IF(shinsei_owner7_NAME_KANA="","",shinsei_owner7_NAME_KANA)</f>
      </c>
    </row>
    <row r="306" spans="5:9" ht="12.75" customHeight="1">
      <c r="E306" s="49" t="s">
        <v>2076</v>
      </c>
      <c r="F306" s="318" t="s">
        <v>2111</v>
      </c>
      <c r="G306" s="7"/>
      <c r="H306" s="4" t="s">
        <v>2372</v>
      </c>
      <c r="I306" s="20">
        <f>IF(shinsei_owner7_POST="","",shinsei_owner7_POST)</f>
      </c>
    </row>
    <row r="307" spans="5:9" ht="12.75" customHeight="1">
      <c r="E307" s="49" t="s">
        <v>2077</v>
      </c>
      <c r="F307" s="318" t="s">
        <v>2112</v>
      </c>
      <c r="G307" s="7"/>
      <c r="H307" s="4" t="s">
        <v>2373</v>
      </c>
      <c r="I307" s="20">
        <f>IF(shinsei_owner7_NAME="","",shinsei_owner7_NAME)</f>
      </c>
    </row>
    <row r="308" spans="5:9" ht="12.75" customHeight="1">
      <c r="E308" s="49" t="s">
        <v>2952</v>
      </c>
      <c r="F308" s="318" t="s">
        <v>2113</v>
      </c>
      <c r="G308" s="7"/>
      <c r="H308" s="4" t="s">
        <v>2374</v>
      </c>
      <c r="I308" s="20">
        <f>IF(shinsei_owner7_POST_CODE="","",shinsei_owner7_POST_CODE)</f>
      </c>
    </row>
    <row r="309" spans="5:9" ht="12.75" customHeight="1">
      <c r="E309" s="49" t="s">
        <v>1009</v>
      </c>
      <c r="F309" s="318" t="s">
        <v>2114</v>
      </c>
      <c r="G309" s="7"/>
      <c r="H309" s="4" t="s">
        <v>2375</v>
      </c>
      <c r="I309" s="20">
        <f>IF(shinsei_owner7__address="","",shinsei_owner7__address)</f>
      </c>
    </row>
    <row r="310" spans="5:9" ht="12.75" customHeight="1">
      <c r="E310" s="49" t="s">
        <v>2473</v>
      </c>
      <c r="F310" s="318" t="s">
        <v>2115</v>
      </c>
      <c r="G310" s="7"/>
      <c r="H310" s="4" t="s">
        <v>2376</v>
      </c>
      <c r="I310" s="20">
        <f>IF(shinsei_owner7_TEL="","",shinsei_owner7_TEL)</f>
      </c>
    </row>
    <row r="311" spans="6:8" ht="12.75" customHeight="1">
      <c r="F311" s="318" t="s">
        <v>3409</v>
      </c>
      <c r="H311" s="10"/>
    </row>
    <row r="312" spans="2:8" ht="12.75" customHeight="1">
      <c r="B312" s="49" t="s">
        <v>2116</v>
      </c>
      <c r="F312" s="318" t="s">
        <v>3409</v>
      </c>
      <c r="H312" s="10"/>
    </row>
    <row r="313" spans="5:9" ht="12.75" customHeight="1">
      <c r="E313" s="49" t="s">
        <v>1727</v>
      </c>
      <c r="F313" s="318" t="s">
        <v>2117</v>
      </c>
      <c r="G313" s="7"/>
      <c r="H313" s="4" t="s">
        <v>2377</v>
      </c>
      <c r="I313" s="20">
        <f>IF(shinsei_owner8_CORP="","",shinsei_owner8_CORP)</f>
      </c>
    </row>
    <row r="314" spans="5:9" ht="12.75" customHeight="1">
      <c r="E314" s="49" t="s">
        <v>2075</v>
      </c>
      <c r="F314" s="318" t="s">
        <v>2118</v>
      </c>
      <c r="G314" s="7"/>
      <c r="H314" s="4" t="s">
        <v>2378</v>
      </c>
      <c r="I314" s="20">
        <f>IF(shinsei_owner8_NAME_KANA="","",shinsei_owner8_NAME_KANA)</f>
      </c>
    </row>
    <row r="315" spans="5:9" ht="12.75" customHeight="1">
      <c r="E315" s="49" t="s">
        <v>2076</v>
      </c>
      <c r="F315" s="318" t="s">
        <v>1022</v>
      </c>
      <c r="G315" s="7"/>
      <c r="H315" s="4" t="s">
        <v>2379</v>
      </c>
      <c r="I315" s="20">
        <f>IF(shinsei_owner8_POST="","",shinsei_owner8_POST)</f>
      </c>
    </row>
    <row r="316" spans="5:9" ht="12.75" customHeight="1">
      <c r="E316" s="49" t="s">
        <v>2077</v>
      </c>
      <c r="F316" s="318" t="s">
        <v>1023</v>
      </c>
      <c r="G316" s="7"/>
      <c r="H316" s="4" t="s">
        <v>2380</v>
      </c>
      <c r="I316" s="20">
        <f>IF(shinsei_owner8_NAME="","",shinsei_owner8_NAME)</f>
      </c>
    </row>
    <row r="317" spans="5:9" ht="12.75" customHeight="1">
      <c r="E317" s="49" t="s">
        <v>2952</v>
      </c>
      <c r="F317" s="318" t="s">
        <v>1024</v>
      </c>
      <c r="G317" s="7"/>
      <c r="H317" s="4" t="s">
        <v>2381</v>
      </c>
      <c r="I317" s="20">
        <f>IF(shinsei_owner8_POST_CODE="","",shinsei_owner8_POST_CODE)</f>
      </c>
    </row>
    <row r="318" spans="5:9" ht="12.75" customHeight="1">
      <c r="E318" s="49" t="s">
        <v>1009</v>
      </c>
      <c r="F318" s="318" t="s">
        <v>1025</v>
      </c>
      <c r="G318" s="7"/>
      <c r="H318" s="4" t="s">
        <v>2382</v>
      </c>
      <c r="I318" s="20">
        <f>IF(shinsei_owner8__address="","",shinsei_owner8__address)</f>
      </c>
    </row>
    <row r="319" spans="5:9" ht="12.75" customHeight="1">
      <c r="E319" s="49" t="s">
        <v>2473</v>
      </c>
      <c r="F319" s="318" t="s">
        <v>1026</v>
      </c>
      <c r="G319" s="7"/>
      <c r="H319" s="4" t="s">
        <v>2383</v>
      </c>
      <c r="I319" s="20">
        <f>IF(shinsei_owner8_TEL="","",shinsei_owner8_TEL)</f>
      </c>
    </row>
    <row r="320" spans="6:8" ht="12.75" customHeight="1">
      <c r="F320" s="318" t="s">
        <v>3409</v>
      </c>
      <c r="H320" s="10"/>
    </row>
    <row r="321" spans="2:8" ht="12.75" customHeight="1">
      <c r="B321" s="49" t="s">
        <v>1027</v>
      </c>
      <c r="F321" s="318" t="s">
        <v>3409</v>
      </c>
      <c r="H321" s="10"/>
    </row>
    <row r="322" spans="5:9" ht="12.75" customHeight="1">
      <c r="E322" s="49" t="s">
        <v>1727</v>
      </c>
      <c r="F322" s="318" t="s">
        <v>1028</v>
      </c>
      <c r="G322" s="7"/>
      <c r="H322" s="4" t="s">
        <v>2384</v>
      </c>
      <c r="I322" s="20">
        <f>IF(shinsei_owner9_CORP="","",shinsei_owner9_CORP)</f>
      </c>
    </row>
    <row r="323" spans="5:9" ht="12.75" customHeight="1">
      <c r="E323" s="49" t="s">
        <v>2075</v>
      </c>
      <c r="F323" s="318" t="s">
        <v>1029</v>
      </c>
      <c r="G323" s="7"/>
      <c r="H323" s="4" t="s">
        <v>2385</v>
      </c>
      <c r="I323" s="20">
        <f>IF(shinsei_owner9_NAME_KANA="","",shinsei_owner9_NAME_KANA)</f>
      </c>
    </row>
    <row r="324" spans="5:9" ht="12.75" customHeight="1">
      <c r="E324" s="49" t="s">
        <v>2076</v>
      </c>
      <c r="F324" s="318" t="s">
        <v>1030</v>
      </c>
      <c r="G324" s="7"/>
      <c r="H324" s="4" t="s">
        <v>2386</v>
      </c>
      <c r="I324" s="20">
        <f>IF(shinsei_owner9_POST="","",shinsei_owner9_POST)</f>
      </c>
    </row>
    <row r="325" spans="5:9" ht="12.75" customHeight="1">
      <c r="E325" s="49" t="s">
        <v>2077</v>
      </c>
      <c r="F325" s="318" t="s">
        <v>1031</v>
      </c>
      <c r="G325" s="7"/>
      <c r="H325" s="4" t="s">
        <v>2387</v>
      </c>
      <c r="I325" s="20">
        <f>IF(shinsei_owner9_NAME="","",shinsei_owner9_NAME)</f>
      </c>
    </row>
    <row r="326" spans="5:9" ht="12.75" customHeight="1">
      <c r="E326" s="49" t="s">
        <v>2952</v>
      </c>
      <c r="F326" s="318" t="s">
        <v>1032</v>
      </c>
      <c r="G326" s="7"/>
      <c r="H326" s="4" t="s">
        <v>2388</v>
      </c>
      <c r="I326" s="20">
        <f>IF(shinsei_owner9_POST_CODE="","",shinsei_owner9_POST_CODE)</f>
      </c>
    </row>
    <row r="327" spans="5:9" ht="12.75" customHeight="1">
      <c r="E327" s="49" t="s">
        <v>1009</v>
      </c>
      <c r="F327" s="318" t="s">
        <v>1033</v>
      </c>
      <c r="G327" s="7"/>
      <c r="H327" s="4" t="s">
        <v>2389</v>
      </c>
      <c r="I327" s="20">
        <f>IF(shinsei_owner9__address="","",shinsei_owner9__address)</f>
      </c>
    </row>
    <row r="328" spans="5:9" ht="12.75" customHeight="1">
      <c r="E328" s="49" t="s">
        <v>2473</v>
      </c>
      <c r="F328" s="318" t="s">
        <v>1034</v>
      </c>
      <c r="G328" s="7"/>
      <c r="H328" s="4" t="s">
        <v>2390</v>
      </c>
      <c r="I328" s="20">
        <f>IF(shinsei_owner9_TEL="","",shinsei_owner9_TEL)</f>
      </c>
    </row>
    <row r="329" spans="6:8" ht="12.75" customHeight="1">
      <c r="F329" s="318" t="s">
        <v>3409</v>
      </c>
      <c r="H329" s="10"/>
    </row>
    <row r="330" spans="6:8" ht="12.75" customHeight="1">
      <c r="F330" s="318" t="s">
        <v>3409</v>
      </c>
      <c r="H330" s="10"/>
    </row>
    <row r="331" spans="2:8" ht="12.75" customHeight="1">
      <c r="B331" s="49" t="s">
        <v>760</v>
      </c>
      <c r="F331" s="318" t="s">
        <v>3409</v>
      </c>
      <c r="H331" s="10"/>
    </row>
    <row r="332" spans="6:8" ht="12.75" customHeight="1">
      <c r="F332" s="318" t="s">
        <v>3409</v>
      </c>
      <c r="H332" s="10"/>
    </row>
    <row r="333" spans="5:9" ht="12.75" customHeight="1">
      <c r="E333" s="49" t="s">
        <v>2074</v>
      </c>
      <c r="F333" s="318" t="s">
        <v>3409</v>
      </c>
      <c r="H333" s="4" t="s">
        <v>761</v>
      </c>
      <c r="I333" s="20" t="str">
        <f>IF(shinsei_NUSHI_NAME="","",IF(shinsei_NUSHI_POST="",shinsei_NUSHI_NAME,shinsei_NUSHI_POST&amp;" "&amp;shinsei_NUSHI_NAME))</f>
        <v>代表取締役　森　満</v>
      </c>
    </row>
    <row r="334" spans="5:9" ht="12.75" customHeight="1">
      <c r="E334" s="49" t="s">
        <v>2333</v>
      </c>
      <c r="F334" s="318" t="s">
        <v>3409</v>
      </c>
      <c r="H334" s="4" t="s">
        <v>762</v>
      </c>
      <c r="I334" s="20">
        <f>IF(shinsei_owner2_NAME="","",IF(shinsei_owner2_POST="",shinsei_owner2_NAME,shinsei_owner2_POST&amp;" "&amp;shinsei_owner2_NAME))</f>
      </c>
    </row>
    <row r="335" spans="5:9" ht="12.75" customHeight="1">
      <c r="E335" s="49" t="s">
        <v>3073</v>
      </c>
      <c r="F335" s="318" t="s">
        <v>3409</v>
      </c>
      <c r="H335" s="4" t="s">
        <v>763</v>
      </c>
      <c r="I335" s="20">
        <f>IF(shinsei_owner3_NAME="","",IF(shinsei_owner3_POST="",shinsei_owner3_NAME,shinsei_owner3_POST&amp;" "&amp;shinsei_owner3_NAME))</f>
      </c>
    </row>
    <row r="336" spans="5:9" ht="12.75" customHeight="1">
      <c r="E336" s="49" t="s">
        <v>3081</v>
      </c>
      <c r="F336" s="318" t="s">
        <v>3409</v>
      </c>
      <c r="H336" s="4" t="s">
        <v>764</v>
      </c>
      <c r="I336" s="20">
        <f>IF(shinsei_owner4_NAME="","",IF(shinsei_owner4_POST="",shinsei_owner4_NAME,shinsei_owner4_POST&amp;" "&amp;shinsei_owner4_NAME))</f>
      </c>
    </row>
    <row r="337" spans="5:9" ht="12.75" customHeight="1">
      <c r="E337" s="49" t="s">
        <v>3089</v>
      </c>
      <c r="F337" s="318" t="s">
        <v>3409</v>
      </c>
      <c r="H337" s="4" t="s">
        <v>765</v>
      </c>
      <c r="I337" s="20">
        <f>IF(shinsei_owner5_NAME="","",IF(shinsei_owner5_POST="",shinsei_owner5_NAME,shinsei_owner5_POST&amp;" "&amp;shinsei_owner5_NAME))</f>
      </c>
    </row>
    <row r="338" spans="5:9" ht="12.75" customHeight="1">
      <c r="E338" s="49" t="s">
        <v>3097</v>
      </c>
      <c r="F338" s="318" t="s">
        <v>3409</v>
      </c>
      <c r="H338" s="4" t="s">
        <v>766</v>
      </c>
      <c r="I338" s="20">
        <f>IF(shinsei_owner6_NAME="","",IF(shinsei_owner6_POST="",shinsei_owner6_NAME,shinsei_owner6_POST&amp;" "&amp;shinsei_owner6_NAME))</f>
      </c>
    </row>
    <row r="339" spans="5:9" ht="12.75" customHeight="1">
      <c r="E339" s="49" t="s">
        <v>2108</v>
      </c>
      <c r="F339" s="318" t="s">
        <v>3409</v>
      </c>
      <c r="H339" s="4" t="s">
        <v>140</v>
      </c>
      <c r="I339" s="20">
        <f>IF(shinsei_owner7_NAME="","",IF(shinsei_owner7_POST="",shinsei_owner7_NAME,shinsei_owner7_POST&amp;" "&amp;shinsei_owner7_NAME))</f>
      </c>
    </row>
    <row r="340" spans="5:9" ht="12.75" customHeight="1">
      <c r="E340" s="49" t="s">
        <v>2116</v>
      </c>
      <c r="F340" s="318" t="s">
        <v>3409</v>
      </c>
      <c r="H340" s="4" t="s">
        <v>141</v>
      </c>
      <c r="I340" s="20">
        <f>IF(shinsei_owner8_NAME="","",IF(shinsei_owner8_POST="",shinsei_owner8_NAME,shinsei_owner8_POST&amp;" "&amp;shinsei_owner8_NAME))</f>
      </c>
    </row>
    <row r="341" spans="5:9" ht="12.75" customHeight="1">
      <c r="E341" s="49" t="s">
        <v>1027</v>
      </c>
      <c r="F341" s="318" t="s">
        <v>3409</v>
      </c>
      <c r="H341" s="4" t="s">
        <v>142</v>
      </c>
      <c r="I341" s="20">
        <f>IF(shinsei_owner9_NAME="","",IF(shinsei_owner9_POST="",shinsei_owner9_NAME,shinsei_owner9_POST&amp;" "&amp;shinsei_owner9_NAME))</f>
      </c>
    </row>
    <row r="342" spans="6:8" ht="12.75" customHeight="1">
      <c r="F342" s="318" t="s">
        <v>3409</v>
      </c>
      <c r="H342" s="10"/>
    </row>
    <row r="343" spans="2:8" ht="12.75" customHeight="1">
      <c r="B343" s="49" t="s">
        <v>1680</v>
      </c>
      <c r="F343" s="318" t="s">
        <v>3409</v>
      </c>
      <c r="H343" s="10"/>
    </row>
    <row r="344" spans="6:8" ht="12.75" customHeight="1">
      <c r="F344" s="318" t="s">
        <v>3409</v>
      </c>
      <c r="H344" s="10"/>
    </row>
    <row r="345" spans="5:9" ht="12.75" customHeight="1">
      <c r="E345" s="49" t="s">
        <v>2074</v>
      </c>
      <c r="F345" s="318" t="s">
        <v>3409</v>
      </c>
      <c r="H345" s="4" t="s">
        <v>1681</v>
      </c>
      <c r="I345" s="20" t="str">
        <f>IF(shinsei_NUSHI_NAME="","",IF(shinsei_NUSHI_POST="",shinsei_NUSHI_NAME&amp;"　様",shinsei_NUSHI_POST&amp;" "&amp;shinsei_NUSHI_NAME&amp;"　様"))</f>
        <v>代表取締役　森　満　様</v>
      </c>
    </row>
    <row r="346" spans="5:9" ht="12.75" customHeight="1">
      <c r="E346" s="49" t="s">
        <v>2333</v>
      </c>
      <c r="F346" s="318" t="s">
        <v>3409</v>
      </c>
      <c r="H346" s="4" t="s">
        <v>1682</v>
      </c>
      <c r="I346" s="20">
        <f>IF(shinsei_owner2_NAME="","",IF(shinsei_owner2_POST="",shinsei_owner2_NAME&amp;"　様",shinsei_owner2_POST&amp;" "&amp;shinsei_owner2_NAME&amp;"　様"))</f>
      </c>
    </row>
    <row r="347" spans="5:9" ht="12.75" customHeight="1">
      <c r="E347" s="49" t="s">
        <v>3073</v>
      </c>
      <c r="F347" s="318" t="s">
        <v>3409</v>
      </c>
      <c r="H347" s="4" t="s">
        <v>1683</v>
      </c>
      <c r="I347" s="20">
        <f>IF(shinsei_owner3_NAME="","",IF(shinsei_owner3_POST="",shinsei_owner3_NAME&amp;"　様",shinsei_owner3_POST&amp;" "&amp;shinsei_owner3_NAME&amp;"　様"))</f>
      </c>
    </row>
    <row r="348" spans="5:9" ht="12.75" customHeight="1">
      <c r="E348" s="49" t="s">
        <v>3081</v>
      </c>
      <c r="F348" s="318" t="s">
        <v>3409</v>
      </c>
      <c r="H348" s="4" t="s">
        <v>1684</v>
      </c>
      <c r="I348" s="20">
        <f>IF(shinsei_owner4_NAME="","",IF(shinsei_owner4_POST="",shinsei_owner4_NAME&amp;"　様",shinsei_owner4_POST&amp;" "&amp;shinsei_owner4_NAME&amp;"　様"))</f>
      </c>
    </row>
    <row r="349" spans="5:9" ht="12.75" customHeight="1">
      <c r="E349" s="49" t="s">
        <v>3089</v>
      </c>
      <c r="F349" s="318" t="s">
        <v>3409</v>
      </c>
      <c r="H349" s="4" t="s">
        <v>1685</v>
      </c>
      <c r="I349" s="20">
        <f>IF(shinsei_owner5_NAME="","",IF(shinsei_owner5_POST="",shinsei_owner5_NAME&amp;"　様",shinsei_owner5_POST&amp;" "&amp;shinsei_owner5_NAME&amp;"　様"))</f>
      </c>
    </row>
    <row r="350" spans="5:9" ht="12.75" customHeight="1">
      <c r="E350" s="49" t="s">
        <v>3097</v>
      </c>
      <c r="F350" s="318" t="s">
        <v>3409</v>
      </c>
      <c r="H350" s="4" t="s">
        <v>1686</v>
      </c>
      <c r="I350" s="20">
        <f>IF(shinsei_owner6_NAME="","",IF(shinsei_owner6_POST="",shinsei_owner6_NAME&amp;"　様",shinsei_owner6_POST&amp;" "&amp;shinsei_owner6_NAME&amp;"　様"))</f>
      </c>
    </row>
    <row r="351" spans="5:9" ht="12.75" customHeight="1">
      <c r="E351" s="49" t="s">
        <v>2108</v>
      </c>
      <c r="F351" s="318" t="s">
        <v>3409</v>
      </c>
      <c r="H351" s="4" t="s">
        <v>1687</v>
      </c>
      <c r="I351" s="20">
        <f>IF(shinsei_owner7_NAME="","",IF(shinsei_owner7_POST="",shinsei_owner7_NAME&amp;"　様",shinsei_owner7_POST&amp;" "&amp;shinsei_owner7_NAME&amp;"　様"))</f>
      </c>
    </row>
    <row r="352" spans="5:9" ht="12.75" customHeight="1">
      <c r="E352" s="49" t="s">
        <v>2116</v>
      </c>
      <c r="F352" s="318" t="s">
        <v>3409</v>
      </c>
      <c r="H352" s="4" t="s">
        <v>1688</v>
      </c>
      <c r="I352" s="20">
        <f>IF(shinsei_owner8_NAME="","",IF(shinsei_owner8_POST="",shinsei_owner8_NAME&amp;"　様",shinsei_owner8_POST&amp;" "&amp;shinsei_owner8_NAME&amp;"　様"))</f>
      </c>
    </row>
    <row r="353" spans="5:9" ht="12.75" customHeight="1">
      <c r="E353" s="49" t="s">
        <v>1027</v>
      </c>
      <c r="F353" s="318" t="s">
        <v>3409</v>
      </c>
      <c r="H353" s="4" t="s">
        <v>1689</v>
      </c>
      <c r="I353" s="20">
        <f>IF(shinsei_owner9_NAME="","",IF(shinsei_owner9_POST="",shinsei_owner9_NAME&amp;"　様",shinsei_owner9_POST&amp;" "&amp;shinsei_owner9_NAME&amp;"　様"))</f>
      </c>
    </row>
    <row r="354" spans="6:8" ht="12.75" customHeight="1">
      <c r="F354" s="318" t="s">
        <v>3409</v>
      </c>
      <c r="H354" s="10"/>
    </row>
    <row r="355" spans="2:8" ht="12.75" customHeight="1">
      <c r="B355" s="49" t="s">
        <v>2469</v>
      </c>
      <c r="F355" s="318" t="s">
        <v>3409</v>
      </c>
      <c r="H355" s="10"/>
    </row>
    <row r="356" spans="6:8" ht="12.75" customHeight="1">
      <c r="F356" s="318" t="s">
        <v>3409</v>
      </c>
      <c r="H356" s="10"/>
    </row>
    <row r="357" spans="5:9" ht="12.75" customHeight="1">
      <c r="E357" s="49" t="s">
        <v>2074</v>
      </c>
      <c r="F357" s="318" t="s">
        <v>3409</v>
      </c>
      <c r="H357" s="4" t="s">
        <v>1649</v>
      </c>
      <c r="I357" s="20" t="str">
        <f>IF(shinsei_NUSHI_NAME="","",shinsei_NUSHI_CORP&amp;shinsei_NUSHI_POST&amp;shinsei_NUSHI_NAME)</f>
        <v>株式会社　プラスワン　代表取締役　森　満</v>
      </c>
    </row>
    <row r="358" spans="5:9" ht="12.75" customHeight="1">
      <c r="E358" s="49" t="s">
        <v>2333</v>
      </c>
      <c r="F358" s="318" t="s">
        <v>3409</v>
      </c>
      <c r="H358" s="4" t="s">
        <v>1650</v>
      </c>
      <c r="I358" s="20">
        <f>IF(shinsei_owner2_NAME="","",shinsei_owner2_CORP&amp;shinsei_owner2_POST&amp;shinsei_owner2_NAME)</f>
      </c>
    </row>
    <row r="359" spans="5:9" ht="12.75" customHeight="1">
      <c r="E359" s="49" t="s">
        <v>3073</v>
      </c>
      <c r="F359" s="318" t="s">
        <v>3409</v>
      </c>
      <c r="H359" s="4" t="s">
        <v>1651</v>
      </c>
      <c r="I359" s="20">
        <f>IF(shinsei_owner3_NAME="","",shinsei_owner3_CORP&amp;shinsei_owner3_POST&amp;shinsei_owner3_NAME)</f>
      </c>
    </row>
    <row r="360" spans="5:9" ht="12.75" customHeight="1">
      <c r="E360" s="49" t="s">
        <v>3081</v>
      </c>
      <c r="F360" s="318" t="s">
        <v>3409</v>
      </c>
      <c r="H360" s="4" t="s">
        <v>1652</v>
      </c>
      <c r="I360" s="20">
        <f>IF(shinsei_owner4_NAME="","",shinsei_owner4_CORP&amp;shinsei_owner4_POST&amp;shinsei_owner4_NAME)</f>
      </c>
    </row>
    <row r="361" spans="5:9" ht="12.75" customHeight="1">
      <c r="E361" s="49" t="s">
        <v>3089</v>
      </c>
      <c r="F361" s="318" t="s">
        <v>3409</v>
      </c>
      <c r="H361" s="4" t="s">
        <v>1653</v>
      </c>
      <c r="I361" s="20">
        <f>IF(shinsei_owner5_NAME="","",shinsei_owner5_CORP&amp;shinsei_owner5_POST&amp;shinsei_owner5_NAME)</f>
      </c>
    </row>
    <row r="362" spans="5:9" ht="12.75" customHeight="1">
      <c r="E362" s="49" t="s">
        <v>3097</v>
      </c>
      <c r="F362" s="318" t="s">
        <v>3409</v>
      </c>
      <c r="H362" s="4" t="s">
        <v>1654</v>
      </c>
      <c r="I362" s="20">
        <f>IF(shinsei_owner6_NAME="","",shinsei_owner6_CORP&amp;shinsei_owner6_POST&amp;shinsei_owner6_NAME)</f>
      </c>
    </row>
    <row r="363" spans="5:9" ht="12.75" customHeight="1">
      <c r="E363" s="49" t="s">
        <v>2108</v>
      </c>
      <c r="F363" s="318" t="s">
        <v>3409</v>
      </c>
      <c r="H363" s="4" t="s">
        <v>1655</v>
      </c>
      <c r="I363" s="20">
        <f>IF(shinsei_owner7_NAME="","",shinsei_owner7_CORP&amp;shinsei_owner7_POST&amp;shinsei_owner7_NAME)</f>
      </c>
    </row>
    <row r="364" spans="5:9" ht="12.75" customHeight="1">
      <c r="E364" s="49" t="s">
        <v>2116</v>
      </c>
      <c r="F364" s="318" t="s">
        <v>3409</v>
      </c>
      <c r="H364" s="4" t="s">
        <v>1656</v>
      </c>
      <c r="I364" s="20">
        <f>IF(shinsei_owner8_NAME="","",shinsei_owner8_CORP&amp;shinsei_owner8_POST&amp;shinsei_owner8_NAME)</f>
      </c>
    </row>
    <row r="365" spans="5:9" ht="12.75" customHeight="1">
      <c r="E365" s="49" t="s">
        <v>1027</v>
      </c>
      <c r="F365" s="318" t="s">
        <v>3409</v>
      </c>
      <c r="H365" s="4" t="s">
        <v>1657</v>
      </c>
      <c r="I365" s="20">
        <f>IF(shinsei_owner9_NAME="","",shinsei_owner9_CORP&amp;shinsei_owner9_POST&amp;shinsei_owner9_NAME)</f>
      </c>
    </row>
    <row r="366" spans="6:8" ht="12.75" customHeight="1">
      <c r="F366" s="318" t="s">
        <v>3409</v>
      </c>
      <c r="H366" s="10"/>
    </row>
    <row r="367" spans="2:8" ht="12.75" customHeight="1">
      <c r="B367" s="49" t="s">
        <v>2470</v>
      </c>
      <c r="F367" s="318" t="s">
        <v>3409</v>
      </c>
      <c r="H367" s="10"/>
    </row>
    <row r="368" spans="6:8" ht="12.75" customHeight="1">
      <c r="F368" s="318" t="s">
        <v>3409</v>
      </c>
      <c r="H368" s="10"/>
    </row>
    <row r="369" spans="5:9" ht="12.75" customHeight="1">
      <c r="E369" s="49" t="s">
        <v>2471</v>
      </c>
      <c r="F369" s="318" t="s">
        <v>3409</v>
      </c>
      <c r="H369" s="4" t="s">
        <v>2472</v>
      </c>
      <c r="I369" s="20" t="str">
        <f>cst_owner1_name_all&amp;cst_owner2_name_all&amp;cst_owner3_name_all&amp;cst_owner4_name_all&amp;cst_owner5_name_all&amp;cst_owner6_name_all&amp;cst_owner7_name_all&amp;cst_owner8_name_all&amp;cst_owner9_name_all</f>
        <v>株式会社　プラスワン　代表取締役　森　満</v>
      </c>
    </row>
    <row r="370" spans="6:8" ht="12.75" customHeight="1">
      <c r="F370" s="318" t="s">
        <v>3409</v>
      </c>
      <c r="H370" s="10"/>
    </row>
    <row r="371" spans="6:8" ht="12.75" customHeight="1">
      <c r="F371" s="318" t="s">
        <v>3409</v>
      </c>
      <c r="H371" s="10"/>
    </row>
    <row r="372" spans="6:8" ht="12.75" customHeight="1">
      <c r="F372" s="318" t="s">
        <v>3409</v>
      </c>
      <c r="H372" s="10"/>
    </row>
    <row r="373" spans="6:8" ht="12.75" customHeight="1">
      <c r="F373" s="318" t="s">
        <v>3409</v>
      </c>
      <c r="H373" s="10"/>
    </row>
    <row r="374" spans="1:8" s="11" customFormat="1" ht="12">
      <c r="A374" s="52"/>
      <c r="B374" s="13" t="s">
        <v>625</v>
      </c>
      <c r="C374" s="13"/>
      <c r="D374" s="13"/>
      <c r="E374" s="13"/>
      <c r="F374" s="13" t="s">
        <v>3409</v>
      </c>
      <c r="G374" s="12"/>
      <c r="H374" s="12"/>
    </row>
    <row r="375" spans="1:9" s="11" customFormat="1" ht="12">
      <c r="A375" s="52"/>
      <c r="B375" s="13"/>
      <c r="C375" s="13" t="s">
        <v>624</v>
      </c>
      <c r="D375" s="13"/>
      <c r="E375" s="13"/>
      <c r="F375" s="13" t="s">
        <v>623</v>
      </c>
      <c r="G375" s="14" t="s">
        <v>3412</v>
      </c>
      <c r="H375" s="11" t="s">
        <v>622</v>
      </c>
      <c r="I375" s="58" t="str">
        <f>IF(shinsei_DAIRI_JIMU_NAME="","",shinsei_DAIRI_JIMU_NAME)</f>
        <v>株式会社　オンス</v>
      </c>
    </row>
    <row r="376" spans="1:9" s="11" customFormat="1" ht="12">
      <c r="A376" s="52"/>
      <c r="B376" s="13"/>
      <c r="C376" s="13" t="s">
        <v>621</v>
      </c>
      <c r="D376" s="13"/>
      <c r="E376" s="13"/>
      <c r="F376" s="13" t="s">
        <v>620</v>
      </c>
      <c r="G376" s="14" t="s">
        <v>3754</v>
      </c>
      <c r="H376" s="73" t="s">
        <v>619</v>
      </c>
      <c r="I376" s="254" t="str">
        <f>IF(shinsei_DAIRI_NAME="","",shinsei_DAIRI_NAME)</f>
        <v>田中　良典</v>
      </c>
    </row>
    <row r="377" spans="1:9" s="11" customFormat="1" ht="12">
      <c r="A377" s="52"/>
      <c r="B377" s="13"/>
      <c r="C377" s="13" t="s">
        <v>2952</v>
      </c>
      <c r="D377" s="13"/>
      <c r="E377" s="13"/>
      <c r="F377" s="13" t="s">
        <v>3755</v>
      </c>
      <c r="G377" s="14" t="s">
        <v>3756</v>
      </c>
      <c r="H377" s="73" t="s">
        <v>2951</v>
      </c>
      <c r="I377" s="254" t="str">
        <f>IF(shinsei_DAIRI_POST_CODE="","",shinsei_DAIRI_POST_CODE)</f>
        <v>533-0033</v>
      </c>
    </row>
    <row r="378" spans="1:9" s="11" customFormat="1" ht="12">
      <c r="A378" s="52"/>
      <c r="B378" s="13"/>
      <c r="C378" s="13" t="s">
        <v>2158</v>
      </c>
      <c r="D378" s="13"/>
      <c r="E378" s="13"/>
      <c r="F378" s="13" t="s">
        <v>2157</v>
      </c>
      <c r="G378" s="14" t="s">
        <v>3757</v>
      </c>
      <c r="H378" s="73" t="s">
        <v>2156</v>
      </c>
      <c r="I378" s="254" t="str">
        <f>IF(shinsei_DAIRI__address="","",shinsei_DAIRI__address)</f>
        <v>大阪府大阪市東淀川区東中島4丁目1-11 シャンボール第3新大阪1F</v>
      </c>
    </row>
    <row r="379" spans="1:9" s="11" customFormat="1" ht="12">
      <c r="A379" s="52"/>
      <c r="B379" s="13"/>
      <c r="C379" s="13" t="s">
        <v>2155</v>
      </c>
      <c r="D379" s="13"/>
      <c r="E379" s="13"/>
      <c r="F379" s="13" t="s">
        <v>2154</v>
      </c>
      <c r="G379" s="14" t="s">
        <v>3758</v>
      </c>
      <c r="H379" s="73" t="s">
        <v>2153</v>
      </c>
      <c r="I379" s="254" t="str">
        <f>IF(shinsei_DAIRI_TEL="","",shinsei_DAIRI_TEL)</f>
        <v>06-6320-8090</v>
      </c>
    </row>
    <row r="380" spans="1:9" s="11" customFormat="1" ht="12">
      <c r="A380" s="52"/>
      <c r="B380" s="13"/>
      <c r="C380" s="13" t="s">
        <v>2152</v>
      </c>
      <c r="D380" s="13"/>
      <c r="E380" s="13"/>
      <c r="F380" s="13" t="s">
        <v>3759</v>
      </c>
      <c r="G380" s="14" t="s">
        <v>3760</v>
      </c>
      <c r="H380" s="12" t="s">
        <v>510</v>
      </c>
      <c r="I380" s="54" t="str">
        <f>IF(shinsei_DAIRI_FAX="","",shinsei_DAIRI_FAX)</f>
        <v>06-6320-7391</v>
      </c>
    </row>
    <row r="381" spans="1:10" ht="11.25">
      <c r="A381" s="321"/>
      <c r="B381" s="321"/>
      <c r="C381" s="321"/>
      <c r="D381" s="321"/>
      <c r="E381" s="321"/>
      <c r="F381" s="321" t="s">
        <v>3409</v>
      </c>
      <c r="J381" s="188"/>
    </row>
    <row r="382" spans="1:10" ht="12">
      <c r="A382" s="321"/>
      <c r="B382" s="12" t="s">
        <v>727</v>
      </c>
      <c r="C382" s="12"/>
      <c r="D382" s="12"/>
      <c r="E382" s="321"/>
      <c r="F382" s="321" t="s">
        <v>3409</v>
      </c>
      <c r="J382" s="188"/>
    </row>
    <row r="383" spans="1:10" ht="12">
      <c r="A383" s="321"/>
      <c r="B383" s="12"/>
      <c r="C383" s="12" t="s">
        <v>728</v>
      </c>
      <c r="D383" s="12"/>
      <c r="E383" s="321"/>
      <c r="F383" s="12" t="s">
        <v>3761</v>
      </c>
      <c r="G383" s="400" t="s">
        <v>3762</v>
      </c>
      <c r="H383" t="s">
        <v>64</v>
      </c>
      <c r="I383" s="401" t="str">
        <f>IF(shinsei_SEKOU_JIMU_NAME="","",shinsei_SEKOU_JIMU_NAME)</f>
        <v>株式会社　プラスワン　　（建設業法3条1項の但し書による軽微な建設工事）</v>
      </c>
      <c r="J383" s="188"/>
    </row>
    <row r="384" spans="1:10" ht="12">
      <c r="A384" s="321"/>
      <c r="B384" s="12"/>
      <c r="C384" s="12" t="s">
        <v>729</v>
      </c>
      <c r="D384" s="12"/>
      <c r="E384" s="321"/>
      <c r="F384" s="12" t="s">
        <v>62</v>
      </c>
      <c r="G384" s="400" t="s">
        <v>3727</v>
      </c>
      <c r="H384" t="s">
        <v>65</v>
      </c>
      <c r="I384" s="401" t="str">
        <f>IF(shinsei_SEKOU_NAME="","",shinsei_SEKOU_NAME)</f>
        <v>代表取締役　森　満</v>
      </c>
      <c r="J384" s="188"/>
    </row>
    <row r="385" spans="1:10" ht="12">
      <c r="A385" s="321"/>
      <c r="B385" s="12"/>
      <c r="C385" s="12" t="s">
        <v>730</v>
      </c>
      <c r="D385" s="12"/>
      <c r="E385" s="321"/>
      <c r="F385" s="12" t="s">
        <v>3763</v>
      </c>
      <c r="G385" s="400" t="s">
        <v>3750</v>
      </c>
      <c r="H385" t="s">
        <v>66</v>
      </c>
      <c r="I385" s="401" t="str">
        <f>IF(shinsei_SEKOU__address="","",shinsei_SEKOU__address)</f>
        <v>兵庫県尼崎市立花町1丁目23-1 Plus Oneﾋﾞﾙ2階</v>
      </c>
      <c r="J385" s="188"/>
    </row>
    <row r="386" spans="1:10" ht="12">
      <c r="A386" s="321"/>
      <c r="B386" s="12"/>
      <c r="C386" s="12" t="s">
        <v>63</v>
      </c>
      <c r="D386" s="12"/>
      <c r="E386" s="321"/>
      <c r="F386" s="12" t="s">
        <v>3764</v>
      </c>
      <c r="G386" s="400" t="s">
        <v>3765</v>
      </c>
      <c r="H386" t="s">
        <v>3031</v>
      </c>
      <c r="I386" s="401" t="str">
        <f>IF(shinsei_SEKOU_ADDRESS="","",shinsei_SEKOU_ADDRESS)</f>
        <v>尼崎市立花町1丁目23-1 Plus Oneﾋﾞﾙ2階</v>
      </c>
      <c r="J386" s="188"/>
    </row>
    <row r="387" spans="1:10" ht="12">
      <c r="A387" s="321"/>
      <c r="B387" s="12"/>
      <c r="C387" s="12" t="s">
        <v>731</v>
      </c>
      <c r="D387" s="12"/>
      <c r="E387" s="321"/>
      <c r="F387" s="12" t="s">
        <v>3766</v>
      </c>
      <c r="G387" s="400" t="s">
        <v>3752</v>
      </c>
      <c r="H387" t="s">
        <v>67</v>
      </c>
      <c r="I387" s="401" t="str">
        <f>IF(shinsei_SEKOU_TEL="","",shinsei_SEKOU_TEL)</f>
        <v>06-6424-6120</v>
      </c>
      <c r="J387" s="188"/>
    </row>
    <row r="388" spans="1:10" ht="11.25">
      <c r="A388" s="321"/>
      <c r="B388" s="321"/>
      <c r="C388" s="321"/>
      <c r="D388" s="321"/>
      <c r="E388" s="321"/>
      <c r="F388" s="321" t="s">
        <v>3409</v>
      </c>
      <c r="J388" s="188"/>
    </row>
    <row r="389" spans="1:10" ht="11.25">
      <c r="A389" s="321"/>
      <c r="B389" s="321"/>
      <c r="C389" s="321"/>
      <c r="D389" s="321"/>
      <c r="E389" s="321"/>
      <c r="F389" s="321" t="s">
        <v>3409</v>
      </c>
      <c r="J389" s="188"/>
    </row>
    <row r="390" spans="1:10" ht="11.25">
      <c r="A390" s="321"/>
      <c r="B390" s="321"/>
      <c r="C390" s="321"/>
      <c r="D390" s="321"/>
      <c r="E390" s="321"/>
      <c r="F390" s="321" t="s">
        <v>3409</v>
      </c>
      <c r="J390" s="188"/>
    </row>
    <row r="391" spans="1:10" ht="11.25">
      <c r="A391" s="321"/>
      <c r="B391" s="321"/>
      <c r="C391" s="321"/>
      <c r="D391" s="321"/>
      <c r="E391" s="321"/>
      <c r="F391" s="321" t="s">
        <v>3409</v>
      </c>
      <c r="J391" s="188"/>
    </row>
    <row r="392" ht="12.75" customHeight="1">
      <c r="F392" s="318" t="s">
        <v>3409</v>
      </c>
    </row>
    <row r="393" spans="1:6" ht="12.75" customHeight="1">
      <c r="A393" s="59" t="s">
        <v>306</v>
      </c>
      <c r="B393" s="59"/>
      <c r="C393" s="59"/>
      <c r="D393" s="59"/>
      <c r="E393" s="59"/>
      <c r="F393" s="319" t="s">
        <v>3409</v>
      </c>
    </row>
    <row r="394" ht="12.75" customHeight="1">
      <c r="F394" s="318" t="s">
        <v>3409</v>
      </c>
    </row>
    <row r="395" spans="1:8" s="11" customFormat="1" ht="12.75" customHeight="1">
      <c r="A395" s="52"/>
      <c r="B395" s="13" t="s">
        <v>994</v>
      </c>
      <c r="C395" s="13"/>
      <c r="D395" s="13"/>
      <c r="E395" s="13"/>
      <c r="F395" s="13" t="s">
        <v>3409</v>
      </c>
      <c r="G395" s="12"/>
      <c r="H395" s="12"/>
    </row>
    <row r="396" spans="1:9" s="11" customFormat="1" ht="12.75" customHeight="1">
      <c r="A396" s="52"/>
      <c r="B396" s="13"/>
      <c r="C396" s="13" t="s">
        <v>995</v>
      </c>
      <c r="D396" s="52"/>
      <c r="E396" s="52"/>
      <c r="F396" s="13" t="s">
        <v>2040</v>
      </c>
      <c r="G396" s="14" t="s">
        <v>3767</v>
      </c>
      <c r="H396" s="15" t="s">
        <v>996</v>
      </c>
      <c r="I396" s="16" t="str">
        <f>IF(shinsei_build_address="","",shinsei_build_address)</f>
        <v>兵庫県尼崎市長洲中通三丁目79番</v>
      </c>
    </row>
    <row r="397" spans="1:9" s="11" customFormat="1" ht="12.75" customHeight="1">
      <c r="A397" s="52"/>
      <c r="B397" s="13"/>
      <c r="C397" s="13" t="s">
        <v>997</v>
      </c>
      <c r="D397" s="52"/>
      <c r="E397" s="52"/>
      <c r="F397" s="13" t="s">
        <v>2041</v>
      </c>
      <c r="G397" s="14" t="s">
        <v>3768</v>
      </c>
      <c r="H397" s="15" t="s">
        <v>998</v>
      </c>
      <c r="I397" s="16" t="str">
        <f>IF(shinsei_build_JYUKYO__address="","",shinsei_build_JYUKYO__address)</f>
        <v>兵庫県尼崎市長洲中通3丁目（未定）</v>
      </c>
    </row>
    <row r="398" ht="12.75" customHeight="1">
      <c r="F398" s="318" t="s">
        <v>3409</v>
      </c>
    </row>
    <row r="399" spans="2:9" ht="12.75" customHeight="1">
      <c r="B399" s="49" t="s">
        <v>297</v>
      </c>
      <c r="F399" s="13" t="s">
        <v>3769</v>
      </c>
      <c r="G399" s="78">
        <v>64.57</v>
      </c>
      <c r="H399" s="12" t="s">
        <v>304</v>
      </c>
      <c r="I399" s="78">
        <f>IF(shinsei_build_SHIKITI_MENSEKI_1_TOTAL="","",shinsei_build_SHIKITI_MENSEKI_1_TOTAL)</f>
        <v>64.57</v>
      </c>
    </row>
    <row r="400" spans="1:10" s="11" customFormat="1" ht="12.75" customHeight="1">
      <c r="A400" s="52"/>
      <c r="B400" s="13" t="s">
        <v>2271</v>
      </c>
      <c r="C400" s="13"/>
      <c r="D400" s="13"/>
      <c r="E400" s="13"/>
      <c r="F400" s="13" t="s">
        <v>3409</v>
      </c>
      <c r="G400" s="12"/>
      <c r="H400" s="12"/>
      <c r="J400" s="11" t="s">
        <v>2275</v>
      </c>
    </row>
    <row r="401" spans="1:9" s="11" customFormat="1" ht="12.75" customHeight="1">
      <c r="A401" s="52"/>
      <c r="B401" s="13"/>
      <c r="C401" s="13" t="s">
        <v>2272</v>
      </c>
      <c r="D401" s="13"/>
      <c r="E401" s="13"/>
      <c r="F401" s="13" t="s">
        <v>2273</v>
      </c>
      <c r="G401" s="78">
        <v>112.55</v>
      </c>
      <c r="H401" s="12" t="s">
        <v>2274</v>
      </c>
      <c r="I401" s="79">
        <f>IF(shinsei_build_NOBE_MENSEKI_BILL_SHINSEI="","",shinsei_build_NOBE_MENSEKI_BILL_SHINSEI)</f>
        <v>112.55</v>
      </c>
    </row>
    <row r="402" spans="1:10" s="11" customFormat="1" ht="12.75" customHeight="1">
      <c r="A402" s="52"/>
      <c r="B402" s="13"/>
      <c r="C402" s="13" t="s">
        <v>3209</v>
      </c>
      <c r="D402" s="13"/>
      <c r="E402" s="13"/>
      <c r="F402" s="13" t="s">
        <v>2276</v>
      </c>
      <c r="G402" s="78">
        <v>0</v>
      </c>
      <c r="H402" s="12" t="s">
        <v>732</v>
      </c>
      <c r="I402" s="79">
        <f>IF(shinsei_build_NOBE_MENSEKI_BILL_SHINSEI_IGAI__zero="","",shinsei_build_NOBE_MENSEKI_BILL_SHINSEI_IGAI__zero)</f>
        <v>0</v>
      </c>
      <c r="J402" s="11" t="s">
        <v>2141</v>
      </c>
    </row>
    <row r="403" spans="1:10" s="11" customFormat="1" ht="12.75" customHeight="1">
      <c r="A403" s="52"/>
      <c r="B403" s="13"/>
      <c r="C403" s="13"/>
      <c r="D403" s="322" t="s">
        <v>2143</v>
      </c>
      <c r="E403" s="13"/>
      <c r="F403" s="13" t="s">
        <v>3409</v>
      </c>
      <c r="G403" s="12"/>
      <c r="H403" s="12" t="s">
        <v>2142</v>
      </c>
      <c r="I403" s="316" t="str">
        <f>IF(OR(shinsei_build_NOBE_MENSEKI_BILL_SHINSEI_IGAI__zero="",shinsei_build_NOBE_MENSEKI_BILL_SHINSEI_IGAI__zero=0),"－",shinsei_build_NOBE_MENSEKI_BILL_SHINSEI_IGAI__zero)</f>
        <v>－</v>
      </c>
      <c r="J403" s="11" t="s">
        <v>2140</v>
      </c>
    </row>
    <row r="404" spans="1:9" s="11" customFormat="1" ht="12.75" customHeight="1">
      <c r="A404" s="52"/>
      <c r="B404" s="13"/>
      <c r="C404" s="13" t="s">
        <v>2745</v>
      </c>
      <c r="D404" s="13"/>
      <c r="E404" s="13"/>
      <c r="F404" s="13" t="s">
        <v>2746</v>
      </c>
      <c r="G404" s="78">
        <v>112.55</v>
      </c>
      <c r="H404" s="12" t="s">
        <v>2747</v>
      </c>
      <c r="I404" s="79">
        <f>IF(shinsei_build_NOBE_MENSEKI_BILL_SHINSEI_TOTAL="","",shinsei_build_NOBE_MENSEKI_BILL_SHINSEI_TOTAL)</f>
        <v>112.55</v>
      </c>
    </row>
    <row r="405" spans="1:9" s="11" customFormat="1" ht="12.75" customHeight="1">
      <c r="A405" s="52"/>
      <c r="B405" s="13" t="s">
        <v>2748</v>
      </c>
      <c r="C405" s="13"/>
      <c r="D405" s="13"/>
      <c r="E405" s="13"/>
      <c r="F405" s="13" t="s">
        <v>2749</v>
      </c>
      <c r="G405" s="17">
        <v>1</v>
      </c>
      <c r="H405" s="15" t="s">
        <v>2750</v>
      </c>
      <c r="I405" s="16">
        <f>IF(shinsei_build_BILL_SHINSEI_COUNT="","",shinsei_build_BILL_SHINSEI_COUNT)</f>
        <v>1</v>
      </c>
    </row>
    <row r="406" spans="1:9" s="11" customFormat="1" ht="12.75" customHeight="1">
      <c r="A406" s="52"/>
      <c r="B406" s="13" t="s">
        <v>2751</v>
      </c>
      <c r="C406" s="13"/>
      <c r="D406" s="13"/>
      <c r="E406" s="13"/>
      <c r="F406" s="13" t="s">
        <v>3409</v>
      </c>
      <c r="G406" s="12"/>
      <c r="H406" s="12"/>
      <c r="I406" s="12"/>
    </row>
    <row r="407" spans="1:9" s="11" customFormat="1" ht="12.75" customHeight="1">
      <c r="A407" s="52"/>
      <c r="B407" s="13"/>
      <c r="C407" s="13" t="s">
        <v>2752</v>
      </c>
      <c r="D407" s="13"/>
      <c r="E407" s="13"/>
      <c r="F407" s="13" t="s">
        <v>2753</v>
      </c>
      <c r="G407" s="17">
        <v>3</v>
      </c>
      <c r="H407" s="15" t="s">
        <v>2754</v>
      </c>
      <c r="I407" s="16">
        <f>IF(shinsei_build_KAISU_TIJYOU_SHINSEI="","",shinsei_build_KAISU_TIJYOU_SHINSEI)</f>
        <v>3</v>
      </c>
    </row>
    <row r="408" spans="1:10" s="11" customFormat="1" ht="12.75" customHeight="1">
      <c r="A408" s="52"/>
      <c r="B408" s="13"/>
      <c r="C408" s="13" t="s">
        <v>3208</v>
      </c>
      <c r="D408" s="13"/>
      <c r="E408" s="13"/>
      <c r="F408" s="13" t="s">
        <v>2621</v>
      </c>
      <c r="G408" s="17">
        <v>0</v>
      </c>
      <c r="H408" s="15" t="s">
        <v>2622</v>
      </c>
      <c r="I408" s="18">
        <f>IF(shinsei_build_KAISU_TIKA_SHINSEI__zero="","",shinsei_build_KAISU_TIKA_SHINSEI__zero)</f>
        <v>0</v>
      </c>
      <c r="J408" s="11" t="s">
        <v>2141</v>
      </c>
    </row>
    <row r="409" spans="1:10" s="11" customFormat="1" ht="12.75" customHeight="1">
      <c r="A409" s="52"/>
      <c r="B409" s="13"/>
      <c r="C409" s="13"/>
      <c r="D409" s="322" t="s">
        <v>2143</v>
      </c>
      <c r="E409" s="13"/>
      <c r="F409" s="13" t="s">
        <v>3409</v>
      </c>
      <c r="H409" s="15" t="s">
        <v>2144</v>
      </c>
      <c r="I409" s="18" t="str">
        <f>IF(OR(shinsei_build_KAISU_TIKA_SHINSEI__zero="",shinsei_build_KAISU_TIKA_SHINSEI__zero=0),"－",shinsei_build_KAISU_TIKA_SHINSEI__zero)</f>
        <v>－</v>
      </c>
      <c r="J409" s="11" t="s">
        <v>2140</v>
      </c>
    </row>
    <row r="410" spans="1:6" s="11" customFormat="1" ht="12.75" customHeight="1">
      <c r="A410" s="52"/>
      <c r="B410" s="13" t="s">
        <v>308</v>
      </c>
      <c r="C410" s="13"/>
      <c r="D410" s="13"/>
      <c r="E410" s="13"/>
      <c r="F410" s="52" t="s">
        <v>3409</v>
      </c>
    </row>
    <row r="411" spans="1:9" s="11" customFormat="1" ht="12.75" customHeight="1">
      <c r="A411" s="13"/>
      <c r="B411" s="52"/>
      <c r="C411" s="13" t="s">
        <v>1097</v>
      </c>
      <c r="D411" s="13"/>
      <c r="E411" s="13"/>
      <c r="F411" s="13" t="s">
        <v>3770</v>
      </c>
      <c r="G411" s="14" t="s">
        <v>3771</v>
      </c>
      <c r="H411" s="12" t="s">
        <v>1098</v>
      </c>
      <c r="I411" s="18" t="str">
        <f>IF(shinsei_build_YOUTO_CODE="","",shinsei_build_YOUTO_CODE)</f>
        <v>08010</v>
      </c>
    </row>
    <row r="412" spans="1:9" s="11" customFormat="1" ht="12.75" customHeight="1">
      <c r="A412" s="52"/>
      <c r="B412" s="13"/>
      <c r="C412" s="13" t="s">
        <v>220</v>
      </c>
      <c r="D412" s="13"/>
      <c r="E412" s="13"/>
      <c r="F412" s="13" t="s">
        <v>2269</v>
      </c>
      <c r="G412" s="14" t="s">
        <v>3772</v>
      </c>
      <c r="H412" s="12" t="s">
        <v>2270</v>
      </c>
      <c r="I412" s="54" t="str">
        <f>IF(shinsei_build_YOUTO="","",shinsei_build_YOUTO)</f>
        <v>一戸建ての住宅（車庫付）</v>
      </c>
    </row>
    <row r="413" spans="1:9" s="11" customFormat="1" ht="12.75" customHeight="1">
      <c r="A413" s="52"/>
      <c r="B413" s="13"/>
      <c r="C413" s="13" t="s">
        <v>2954</v>
      </c>
      <c r="D413" s="13"/>
      <c r="E413" s="13"/>
      <c r="F413" s="13" t="s">
        <v>3773</v>
      </c>
      <c r="G413" s="14" t="s">
        <v>3409</v>
      </c>
      <c r="H413" s="12" t="s">
        <v>2953</v>
      </c>
      <c r="I413" s="54">
        <f>IF(shinsei_build_YOUTO_PRINT="","",shinsei_build_YOUTO_PRINT)</f>
      </c>
    </row>
    <row r="414" spans="1:10" s="50" customFormat="1" ht="12.75" customHeight="1">
      <c r="A414" s="60"/>
      <c r="B414" s="13" t="s">
        <v>3207</v>
      </c>
      <c r="C414" s="49"/>
      <c r="D414" s="49"/>
      <c r="E414" s="49"/>
      <c r="F414" s="49" t="s">
        <v>3774</v>
      </c>
      <c r="G414" s="8" t="s">
        <v>490</v>
      </c>
      <c r="H414" s="15" t="s">
        <v>1220</v>
      </c>
      <c r="I414" s="72" t="str">
        <f>IF(shinsei_kouji="","",shinsei_kouji)</f>
        <v>新築</v>
      </c>
      <c r="J414" s="11" t="s">
        <v>1771</v>
      </c>
    </row>
    <row r="415" spans="1:10" s="50" customFormat="1" ht="12.75" customHeight="1">
      <c r="A415" s="60"/>
      <c r="B415" s="13"/>
      <c r="C415" s="60"/>
      <c r="D415" s="60"/>
      <c r="E415" s="60"/>
      <c r="F415" s="60" t="s">
        <v>3409</v>
      </c>
      <c r="G415" s="60" t="s">
        <v>3409</v>
      </c>
      <c r="J415" s="11"/>
    </row>
    <row r="416" spans="1:10" s="50" customFormat="1" ht="12.75" customHeight="1">
      <c r="A416" s="60"/>
      <c r="B416" s="13"/>
      <c r="C416" s="60"/>
      <c r="D416" s="60"/>
      <c r="E416" s="60"/>
      <c r="F416" s="60" t="s">
        <v>3409</v>
      </c>
      <c r="G416" s="60" t="s">
        <v>3409</v>
      </c>
      <c r="J416" s="11"/>
    </row>
    <row r="417" spans="1:10" s="50" customFormat="1" ht="12.75" customHeight="1">
      <c r="A417" s="12" t="s">
        <v>1337</v>
      </c>
      <c r="B417" s="12"/>
      <c r="C417" s="12"/>
      <c r="D417" s="12"/>
      <c r="E417" s="60"/>
      <c r="F417" s="60" t="s">
        <v>3409</v>
      </c>
      <c r="G417" s="60" t="s">
        <v>3409</v>
      </c>
      <c r="J417" s="11"/>
    </row>
    <row r="418" spans="1:10" s="50" customFormat="1" ht="12.75" customHeight="1">
      <c r="A418" s="12"/>
      <c r="C418" s="12"/>
      <c r="E418" s="12" t="s">
        <v>1338</v>
      </c>
      <c r="F418" s="12" t="s">
        <v>1339</v>
      </c>
      <c r="G418" s="8" t="s">
        <v>3775</v>
      </c>
      <c r="H418" s="50" t="s">
        <v>508</v>
      </c>
      <c r="I418" s="396" t="str">
        <f>IF(shinsei_build_KOUJI_SINTIKU="","",shinsei_build_KOUJI_SINTIKU)</f>
        <v>■</v>
      </c>
      <c r="J418" s="11"/>
    </row>
    <row r="419" spans="1:10" s="50" customFormat="1" ht="12.75" customHeight="1">
      <c r="A419" s="12"/>
      <c r="C419" s="12"/>
      <c r="E419" s="12" t="s">
        <v>1340</v>
      </c>
      <c r="F419" s="12" t="s">
        <v>473</v>
      </c>
      <c r="G419" s="8" t="s">
        <v>3776</v>
      </c>
      <c r="H419" s="50" t="s">
        <v>509</v>
      </c>
      <c r="I419" s="396" t="str">
        <f>IF(shinsei_build_KOUJI_ZOUTIKU="","",shinsei_build_KOUJI_ZOUTIKU)</f>
        <v>□</v>
      </c>
      <c r="J419" s="11"/>
    </row>
    <row r="420" spans="1:10" s="50" customFormat="1" ht="12.75" customHeight="1">
      <c r="A420" s="12"/>
      <c r="C420" s="12"/>
      <c r="E420" s="12" t="s">
        <v>474</v>
      </c>
      <c r="F420" s="12" t="s">
        <v>475</v>
      </c>
      <c r="G420" s="8" t="s">
        <v>3776</v>
      </c>
      <c r="H420" s="50" t="s">
        <v>2636</v>
      </c>
      <c r="I420" s="396" t="str">
        <f>IF(shinsei_build_KOUJI_KAITIKU="","",shinsei_build_KOUJI_KAITIKU)</f>
        <v>□</v>
      </c>
      <c r="J420" s="11"/>
    </row>
    <row r="421" spans="1:10" s="50" customFormat="1" ht="12.75" customHeight="1">
      <c r="A421" s="12"/>
      <c r="C421" s="12"/>
      <c r="E421" s="12" t="s">
        <v>476</v>
      </c>
      <c r="F421" s="12" t="s">
        <v>477</v>
      </c>
      <c r="G421" s="8" t="s">
        <v>3776</v>
      </c>
      <c r="H421" s="50" t="s">
        <v>2637</v>
      </c>
      <c r="I421" s="396" t="str">
        <f>IF(shinsei_build_KOUJI_ITEN="","",shinsei_build_KOUJI_ITEN)</f>
        <v>□</v>
      </c>
      <c r="J421" s="11"/>
    </row>
    <row r="422" spans="1:10" s="50" customFormat="1" ht="12.75" customHeight="1">
      <c r="A422" s="12"/>
      <c r="C422" s="12"/>
      <c r="E422" s="12" t="s">
        <v>478</v>
      </c>
      <c r="F422" s="12" t="s">
        <v>479</v>
      </c>
      <c r="G422" s="8" t="s">
        <v>3776</v>
      </c>
      <c r="H422" s="50" t="s">
        <v>2638</v>
      </c>
      <c r="I422" s="396" t="str">
        <f>IF(shinsei_build_KOUJI_YOUTOHENKOU="","",shinsei_build_KOUJI_YOUTOHENKOU)</f>
        <v>□</v>
      </c>
      <c r="J422" s="11"/>
    </row>
    <row r="423" spans="1:10" s="50" customFormat="1" ht="12.75" customHeight="1">
      <c r="A423" s="12"/>
      <c r="C423" s="12"/>
      <c r="E423" s="12" t="s">
        <v>480</v>
      </c>
      <c r="F423" s="12" t="s">
        <v>481</v>
      </c>
      <c r="G423" s="8" t="s">
        <v>3776</v>
      </c>
      <c r="H423" s="50" t="s">
        <v>2639</v>
      </c>
      <c r="I423" s="396" t="str">
        <f>IF(shinsei_build_KOUJI_DAI_SYUUZEN="","",shinsei_build_KOUJI_DAI_SYUUZEN)</f>
        <v>□</v>
      </c>
      <c r="J423" s="11"/>
    </row>
    <row r="424" spans="1:10" s="50" customFormat="1" ht="12.75" customHeight="1">
      <c r="A424" s="12"/>
      <c r="C424" s="12"/>
      <c r="E424" s="12" t="s">
        <v>482</v>
      </c>
      <c r="F424" s="12" t="s">
        <v>483</v>
      </c>
      <c r="G424" s="8" t="s">
        <v>3776</v>
      </c>
      <c r="H424" s="50" t="s">
        <v>2640</v>
      </c>
      <c r="I424" s="396" t="str">
        <f>IF(shinsei_build_KOUJI_DAI_MOYOUGAE="","",shinsei_build_KOUJI_DAI_MOYOUGAE)</f>
        <v>□</v>
      </c>
      <c r="J424" s="11"/>
    </row>
    <row r="425" spans="1:10" s="50" customFormat="1" ht="12.75" customHeight="1">
      <c r="A425" s="12" t="s">
        <v>484</v>
      </c>
      <c r="B425" s="12"/>
      <c r="C425" s="12"/>
      <c r="E425" s="60"/>
      <c r="F425" s="12"/>
      <c r="G425" s="60" t="s">
        <v>3409</v>
      </c>
      <c r="J425" s="11"/>
    </row>
    <row r="426" spans="1:10" s="50" customFormat="1" ht="12.75" customHeight="1">
      <c r="A426" s="12"/>
      <c r="C426" s="12"/>
      <c r="E426" s="12" t="s">
        <v>1338</v>
      </c>
      <c r="F426" s="12" t="s">
        <v>485</v>
      </c>
      <c r="G426" s="8" t="s">
        <v>3776</v>
      </c>
      <c r="H426" s="50" t="s">
        <v>2641</v>
      </c>
      <c r="I426" s="396" t="str">
        <f>IF(shinsei_ev_KOUSAKU_KOUJI_SHINTIKU="","",shinsei_ev_KOUSAKU_KOUJI_SHINTIKU)</f>
        <v>□</v>
      </c>
      <c r="J426" s="11"/>
    </row>
    <row r="427" spans="1:10" s="50" customFormat="1" ht="12.75" customHeight="1">
      <c r="A427" s="12"/>
      <c r="C427" s="12"/>
      <c r="E427" s="12" t="s">
        <v>1340</v>
      </c>
      <c r="F427" s="12" t="s">
        <v>486</v>
      </c>
      <c r="G427" s="8" t="s">
        <v>3776</v>
      </c>
      <c r="H427" s="50" t="s">
        <v>2644</v>
      </c>
      <c r="I427" s="396" t="str">
        <f>IF(shinsei_ev_KOUSAKU_KOUJI_ZOUTIKU="","",shinsei_ev_KOUSAKU_KOUJI_ZOUTIKU)</f>
        <v>□</v>
      </c>
      <c r="J427" s="11"/>
    </row>
    <row r="428" spans="1:10" s="50" customFormat="1" ht="12.75" customHeight="1">
      <c r="A428" s="12"/>
      <c r="C428" s="12"/>
      <c r="E428" s="12" t="s">
        <v>474</v>
      </c>
      <c r="F428" s="12" t="s">
        <v>487</v>
      </c>
      <c r="G428" s="8" t="s">
        <v>3776</v>
      </c>
      <c r="H428" s="50" t="s">
        <v>2642</v>
      </c>
      <c r="I428" s="396" t="str">
        <f>IF(shinsei_ev_KOUSAKU_KOUJI_KAITIKU="","",shinsei_ev_KOUSAKU_KOUJI_KAITIKU)</f>
        <v>□</v>
      </c>
      <c r="J428" s="11"/>
    </row>
    <row r="429" spans="1:10" s="50" customFormat="1" ht="12.75" customHeight="1">
      <c r="A429" s="12"/>
      <c r="C429" s="12"/>
      <c r="E429" s="12" t="s">
        <v>2552</v>
      </c>
      <c r="F429" s="12" t="s">
        <v>488</v>
      </c>
      <c r="G429" s="8" t="s">
        <v>3409</v>
      </c>
      <c r="H429" s="50" t="s">
        <v>2643</v>
      </c>
      <c r="I429" s="396">
        <f>IF(shinsei_ev_KOUSAKU_KOUJI_SONOTA="","",shinsei_ev_KOUSAKU_KOUJI_SONOTA)</f>
      </c>
      <c r="J429" s="11"/>
    </row>
    <row r="430" spans="1:10" s="50" customFormat="1" ht="12.75" customHeight="1">
      <c r="A430" s="12" t="s">
        <v>489</v>
      </c>
      <c r="C430" s="12"/>
      <c r="E430" s="12"/>
      <c r="F430" s="12"/>
      <c r="G430" s="60" t="s">
        <v>3409</v>
      </c>
      <c r="J430" s="11"/>
    </row>
    <row r="431" spans="1:10" s="50" customFormat="1" ht="12.75" customHeight="1">
      <c r="A431" s="12"/>
      <c r="C431" s="12"/>
      <c r="E431" s="12" t="s">
        <v>490</v>
      </c>
      <c r="F431" s="12" t="s">
        <v>491</v>
      </c>
      <c r="G431" s="8" t="s">
        <v>3776</v>
      </c>
      <c r="H431" s="50" t="s">
        <v>2645</v>
      </c>
      <c r="I431" s="396" t="str">
        <f>IF(shinsei_intermediate_BILL_KOUJI_SINTIKU="","",shinsei_intermediate_BILL_KOUJI_SINTIKU)</f>
        <v>□</v>
      </c>
      <c r="J431" s="11"/>
    </row>
    <row r="432" spans="1:10" s="50" customFormat="1" ht="12.75" customHeight="1">
      <c r="A432" s="12"/>
      <c r="C432" s="12"/>
      <c r="E432" s="12" t="s">
        <v>492</v>
      </c>
      <c r="F432" s="12" t="s">
        <v>493</v>
      </c>
      <c r="G432" s="8" t="s">
        <v>3776</v>
      </c>
      <c r="H432" s="50" t="s">
        <v>2161</v>
      </c>
      <c r="I432" s="396" t="str">
        <f>IF(shinsei_intermediate_BILL_KOUJI_ZOUTIKU="","",shinsei_intermediate_BILL_KOUJI_ZOUTIKU)</f>
        <v>□</v>
      </c>
      <c r="J432" s="11"/>
    </row>
    <row r="433" spans="1:10" s="50" customFormat="1" ht="12.75" customHeight="1">
      <c r="A433" s="12"/>
      <c r="C433" s="12"/>
      <c r="E433" s="12" t="s">
        <v>474</v>
      </c>
      <c r="F433" s="12" t="s">
        <v>494</v>
      </c>
      <c r="G433" s="8" t="s">
        <v>3776</v>
      </c>
      <c r="H433" s="50" t="s">
        <v>2162</v>
      </c>
      <c r="I433" s="396" t="str">
        <f>IF(shinsei_intermediate_BILL_KOUJI_KAITIKU="","",shinsei_intermediate_BILL_KOUJI_KAITIKU)</f>
        <v>□</v>
      </c>
      <c r="J433" s="11"/>
    </row>
    <row r="434" spans="1:10" s="50" customFormat="1" ht="12.75" customHeight="1">
      <c r="A434" s="12"/>
      <c r="C434" s="12"/>
      <c r="E434" s="12" t="s">
        <v>476</v>
      </c>
      <c r="F434" s="12" t="s">
        <v>495</v>
      </c>
      <c r="G434" s="8" t="s">
        <v>3776</v>
      </c>
      <c r="H434" s="50" t="s">
        <v>2163</v>
      </c>
      <c r="I434" s="396" t="str">
        <f>IF(shinsei_intermediate_BILL_KOUJI_ITEN="","",shinsei_intermediate_BILL_KOUJI_ITEN)</f>
        <v>□</v>
      </c>
      <c r="J434" s="11"/>
    </row>
    <row r="435" spans="1:10" s="50" customFormat="1" ht="12.75" customHeight="1">
      <c r="A435" s="12"/>
      <c r="C435" s="12"/>
      <c r="E435" s="12" t="s">
        <v>480</v>
      </c>
      <c r="F435" s="12" t="s">
        <v>496</v>
      </c>
      <c r="G435" s="8" t="s">
        <v>3776</v>
      </c>
      <c r="H435" s="50" t="s">
        <v>2164</v>
      </c>
      <c r="I435" s="396" t="str">
        <f>IF(shinsei_intermediate_BILL_KOUJI_DAI_SYUUZEN="","",shinsei_intermediate_BILL_KOUJI_DAI_SYUUZEN)</f>
        <v>□</v>
      </c>
      <c r="J435" s="11"/>
    </row>
    <row r="436" spans="1:10" s="50" customFormat="1" ht="12.75" customHeight="1">
      <c r="A436" s="12"/>
      <c r="C436" s="12"/>
      <c r="E436" s="12" t="s">
        <v>482</v>
      </c>
      <c r="F436" s="12" t="s">
        <v>497</v>
      </c>
      <c r="G436" s="8" t="s">
        <v>3776</v>
      </c>
      <c r="H436" s="50" t="s">
        <v>2165</v>
      </c>
      <c r="I436" s="396" t="str">
        <f>IF(shinsei_intermediate_BILL_KOUJI_DAI_MOYOUGAE="","",shinsei_intermediate_BILL_KOUJI_DAI_MOYOUGAE)</f>
        <v>□</v>
      </c>
      <c r="J436" s="11"/>
    </row>
    <row r="437" spans="1:10" s="50" customFormat="1" ht="12.75" customHeight="1">
      <c r="A437" s="12"/>
      <c r="C437" s="12"/>
      <c r="E437" s="12" t="s">
        <v>498</v>
      </c>
      <c r="F437" s="12" t="s">
        <v>499</v>
      </c>
      <c r="G437" s="8" t="s">
        <v>3776</v>
      </c>
      <c r="H437" s="50" t="s">
        <v>2166</v>
      </c>
      <c r="I437" s="396" t="str">
        <f>IF(shinsei_intermediate_BILL_KOUJI_SETUBISETTI="","",shinsei_intermediate_BILL_KOUJI_SETUBISETTI)</f>
        <v>□</v>
      </c>
      <c r="J437" s="11"/>
    </row>
    <row r="438" spans="1:10" s="50" customFormat="1" ht="12.75" customHeight="1">
      <c r="A438" s="12" t="s">
        <v>500</v>
      </c>
      <c r="C438" s="12"/>
      <c r="E438" s="12"/>
      <c r="F438" s="12"/>
      <c r="G438" s="60" t="s">
        <v>3409</v>
      </c>
      <c r="J438" s="11"/>
    </row>
    <row r="439" spans="1:10" s="50" customFormat="1" ht="12.75" customHeight="1">
      <c r="A439" s="12"/>
      <c r="C439" s="12"/>
      <c r="E439" s="12" t="s">
        <v>490</v>
      </c>
      <c r="F439" s="12" t="s">
        <v>501</v>
      </c>
      <c r="G439" s="8" t="s">
        <v>3776</v>
      </c>
      <c r="H439" s="50" t="s">
        <v>2167</v>
      </c>
      <c r="I439" s="396" t="str">
        <f>IF(shinsei_final_KOUJI_SINTIKU="","",shinsei_final_KOUJI_SINTIKU)</f>
        <v>□</v>
      </c>
      <c r="J439" s="11"/>
    </row>
    <row r="440" spans="1:10" s="50" customFormat="1" ht="12.75" customHeight="1">
      <c r="A440" s="12"/>
      <c r="C440" s="12"/>
      <c r="E440" s="12" t="s">
        <v>492</v>
      </c>
      <c r="F440" s="12" t="s">
        <v>502</v>
      </c>
      <c r="G440" s="8" t="s">
        <v>3776</v>
      </c>
      <c r="H440" s="50" t="s">
        <v>2168</v>
      </c>
      <c r="I440" s="396" t="str">
        <f>IF(shinsei_final_KOUJI_ZOUTIKU="","",shinsei_final_KOUJI_ZOUTIKU)</f>
        <v>□</v>
      </c>
      <c r="J440" s="11"/>
    </row>
    <row r="441" spans="1:10" s="50" customFormat="1" ht="12.75" customHeight="1">
      <c r="A441" s="12"/>
      <c r="C441" s="12"/>
      <c r="E441" s="12" t="s">
        <v>474</v>
      </c>
      <c r="F441" s="12" t="s">
        <v>503</v>
      </c>
      <c r="G441" s="8" t="s">
        <v>3776</v>
      </c>
      <c r="H441" s="50" t="s">
        <v>2169</v>
      </c>
      <c r="I441" s="396" t="str">
        <f>IF(shinsei_final_KOUJI_KAITIKU="","",shinsei_final_KOUJI_KAITIKU)</f>
        <v>□</v>
      </c>
      <c r="J441" s="11"/>
    </row>
    <row r="442" spans="1:10" s="50" customFormat="1" ht="12.75" customHeight="1">
      <c r="A442" s="12"/>
      <c r="C442" s="12"/>
      <c r="E442" s="12" t="s">
        <v>476</v>
      </c>
      <c r="F442" s="12" t="s">
        <v>504</v>
      </c>
      <c r="G442" s="8" t="s">
        <v>3776</v>
      </c>
      <c r="H442" s="50" t="s">
        <v>2170</v>
      </c>
      <c r="I442" s="396" t="str">
        <f>IF(shinsei_final_KOUJI_ITEN="","",shinsei_final_KOUJI_ITEN)</f>
        <v>□</v>
      </c>
      <c r="J442" s="11"/>
    </row>
    <row r="443" spans="1:10" s="50" customFormat="1" ht="12.75" customHeight="1">
      <c r="A443" s="12"/>
      <c r="C443" s="12"/>
      <c r="E443" s="12" t="s">
        <v>480</v>
      </c>
      <c r="F443" s="12" t="s">
        <v>505</v>
      </c>
      <c r="G443" s="8" t="s">
        <v>3776</v>
      </c>
      <c r="H443" s="50" t="s">
        <v>2171</v>
      </c>
      <c r="I443" s="396" t="str">
        <f>IF(shinsei_final_KOUJI_DAI_SYUUZEN="","",shinsei_final_KOUJI_DAI_SYUUZEN)</f>
        <v>□</v>
      </c>
      <c r="J443" s="11"/>
    </row>
    <row r="444" spans="1:10" s="50" customFormat="1" ht="12.75" customHeight="1">
      <c r="A444" s="12"/>
      <c r="C444" s="12"/>
      <c r="E444" s="12" t="s">
        <v>482</v>
      </c>
      <c r="F444" s="12" t="s">
        <v>506</v>
      </c>
      <c r="G444" s="8" t="s">
        <v>3776</v>
      </c>
      <c r="H444" s="50" t="s">
        <v>2172</v>
      </c>
      <c r="I444" s="396" t="str">
        <f>IF(shinsei_final_KOUJI_DAI_MOYOUGAE="","",shinsei_final_KOUJI_DAI_MOYOUGAE)</f>
        <v>□</v>
      </c>
      <c r="J444" s="11"/>
    </row>
    <row r="445" spans="1:10" s="50" customFormat="1" ht="12.75" customHeight="1">
      <c r="A445" s="12"/>
      <c r="C445" s="12"/>
      <c r="E445" s="12" t="s">
        <v>498</v>
      </c>
      <c r="F445" s="12" t="s">
        <v>507</v>
      </c>
      <c r="G445" s="8" t="s">
        <v>3776</v>
      </c>
      <c r="H445" s="50" t="s">
        <v>2173</v>
      </c>
      <c r="I445" s="396" t="str">
        <f>IF(shinsei_final_KOUJI_SETUBISETTI="","",shinsei_final_KOUJI_SETUBISETTI)</f>
        <v>□</v>
      </c>
      <c r="J445" s="11"/>
    </row>
    <row r="446" spans="1:10" s="50" customFormat="1" ht="12.75" customHeight="1">
      <c r="A446" s="60"/>
      <c r="B446" s="13"/>
      <c r="C446" s="60"/>
      <c r="D446" s="60"/>
      <c r="E446" s="60"/>
      <c r="F446" s="60" t="s">
        <v>3409</v>
      </c>
      <c r="G446" s="60" t="s">
        <v>3409</v>
      </c>
      <c r="J446" s="11"/>
    </row>
    <row r="447" spans="1:10" s="50" customFormat="1" ht="12.75" customHeight="1">
      <c r="A447" s="60"/>
      <c r="B447" s="13"/>
      <c r="C447" s="60"/>
      <c r="D447" s="60"/>
      <c r="E447" s="60"/>
      <c r="F447" s="60" t="s">
        <v>3409</v>
      </c>
      <c r="G447" s="60" t="s">
        <v>3409</v>
      </c>
      <c r="J447" s="11"/>
    </row>
    <row r="448" spans="1:10" s="11" customFormat="1" ht="12.75" customHeight="1">
      <c r="A448" s="52"/>
      <c r="B448" s="13" t="s">
        <v>1772</v>
      </c>
      <c r="C448" s="52"/>
      <c r="D448" s="13"/>
      <c r="E448" s="13"/>
      <c r="F448" s="13" t="s">
        <v>2623</v>
      </c>
      <c r="G448" s="14" t="s">
        <v>3777</v>
      </c>
      <c r="H448" s="12" t="s">
        <v>1774</v>
      </c>
      <c r="I448" s="56" t="str">
        <f>IF(ISERROR(SEARCH("一部",shinsei_build_KOUZOU1)),IF(shinsei_build_kouzou="","",shinsei_build_kouzou),IF(shinsei_build_KOUZOU2="",shinsei_build_KOUZOU1,shinsei_build_KOUZOU1&amp;","&amp;shinsei_build_KOUZOU2))</f>
        <v>木造（在来工法）</v>
      </c>
      <c r="J448" s="11" t="s">
        <v>1773</v>
      </c>
    </row>
    <row r="449" spans="1:6" s="11" customFormat="1" ht="12.75" customHeight="1">
      <c r="A449" s="52"/>
      <c r="B449" s="13" t="s">
        <v>2755</v>
      </c>
      <c r="C449" s="13"/>
      <c r="D449" s="52"/>
      <c r="E449" s="52"/>
      <c r="F449" s="52" t="s">
        <v>3409</v>
      </c>
    </row>
    <row r="450" spans="1:10" s="11" customFormat="1" ht="12.75" customHeight="1">
      <c r="A450" s="52"/>
      <c r="B450" s="13"/>
      <c r="C450" s="13" t="s">
        <v>3204</v>
      </c>
      <c r="D450" s="13"/>
      <c r="E450" s="13"/>
      <c r="F450" s="13" t="s">
        <v>3778</v>
      </c>
      <c r="G450" s="14" t="s">
        <v>3779</v>
      </c>
      <c r="H450" s="12" t="s">
        <v>2756</v>
      </c>
      <c r="I450" s="18" t="str">
        <f>IF(shinsei_BILL_NAME="","",shinsei_BILL_NAME)</f>
        <v>（仮称）尼崎市長洲中通三丁目　新築工事</v>
      </c>
      <c r="J450" s="11" t="s">
        <v>2757</v>
      </c>
    </row>
    <row r="451" spans="1:30" s="75" customFormat="1" ht="12.75" customHeight="1">
      <c r="A451" s="133"/>
      <c r="B451" s="74"/>
      <c r="C451" s="74" t="s">
        <v>3205</v>
      </c>
      <c r="D451" s="74"/>
      <c r="E451" s="74"/>
      <c r="F451" s="74" t="s">
        <v>3409</v>
      </c>
      <c r="G451" s="5"/>
      <c r="H451" s="73" t="s">
        <v>3202</v>
      </c>
      <c r="I451" s="136">
        <f>cst_shinsei_ev_EV_BILL_NAME</f>
      </c>
      <c r="P451" s="76"/>
      <c r="Q451" s="76"/>
      <c r="R451" s="76"/>
      <c r="S451" s="76"/>
      <c r="T451" s="76"/>
      <c r="U451" s="76"/>
      <c r="V451" s="76"/>
      <c r="W451" s="76"/>
      <c r="X451" s="76"/>
      <c r="Y451" s="76"/>
      <c r="Z451" s="76"/>
      <c r="AA451" s="76"/>
      <c r="AB451" s="76"/>
      <c r="AC451" s="76"/>
      <c r="AD451" s="76"/>
    </row>
    <row r="452" spans="1:30" s="75" customFormat="1" ht="12.75" customHeight="1">
      <c r="A452" s="133"/>
      <c r="B452" s="74" t="s">
        <v>1001</v>
      </c>
      <c r="C452" s="74" t="s">
        <v>3206</v>
      </c>
      <c r="D452" s="74"/>
      <c r="E452" s="74"/>
      <c r="F452" s="74" t="s">
        <v>3409</v>
      </c>
      <c r="G452" s="77"/>
      <c r="H452" s="12" t="s">
        <v>2758</v>
      </c>
      <c r="I452" s="56" t="str">
        <f>IF(OR(shinsei_TARGET_KIND="建築物",shinsei_TARGET_KIND="工作物"),IF(shinsei_BILL_NAME="","",shinsei_BILL_NAME),IF(shinsei_TARGET_KIND="昇降機",IF(shinsei_ev_EV_BILL_NAME="","",shinsei_ev_EV_BILL_NAME),""))</f>
        <v>（仮称）尼崎市長洲中通三丁目　新築工事</v>
      </c>
      <c r="K452" s="11" t="s">
        <v>2759</v>
      </c>
      <c r="P452" s="76"/>
      <c r="Q452" s="76"/>
      <c r="R452" s="76"/>
      <c r="S452" s="76"/>
      <c r="T452" s="76"/>
      <c r="U452" s="76"/>
      <c r="V452" s="76"/>
      <c r="W452" s="76"/>
      <c r="X452" s="76"/>
      <c r="Y452" s="76"/>
      <c r="Z452" s="76"/>
      <c r="AA452" s="76"/>
      <c r="AB452" s="76"/>
      <c r="AC452" s="76"/>
      <c r="AD452" s="76"/>
    </row>
    <row r="453" ht="12.75" customHeight="1">
      <c r="F453" s="318" t="s">
        <v>3409</v>
      </c>
    </row>
    <row r="454" spans="1:15" s="50" customFormat="1" ht="12.75" customHeight="1">
      <c r="A454" s="60"/>
      <c r="B454" s="60" t="s">
        <v>779</v>
      </c>
      <c r="C454" s="49"/>
      <c r="D454" s="49"/>
      <c r="E454" s="49"/>
      <c r="F454" s="49" t="s">
        <v>3409</v>
      </c>
      <c r="G454" s="4"/>
      <c r="H454" s="257"/>
      <c r="I454" s="257"/>
      <c r="J454" s="257"/>
      <c r="K454" s="257"/>
      <c r="L454" s="257"/>
      <c r="M454" s="257"/>
      <c r="N454" s="257"/>
      <c r="O454" s="257"/>
    </row>
    <row r="455" spans="1:10" s="11" customFormat="1" ht="12.75" customHeight="1">
      <c r="A455" s="52"/>
      <c r="B455" s="52"/>
      <c r="C455" s="13" t="s">
        <v>780</v>
      </c>
      <c r="D455" s="13"/>
      <c r="E455" s="13"/>
      <c r="F455" s="13" t="s">
        <v>781</v>
      </c>
      <c r="G455" s="96">
        <v>42348</v>
      </c>
      <c r="H455" s="12" t="s">
        <v>782</v>
      </c>
      <c r="I455" s="301">
        <f>IF(shinsei_KOUJI_KANRYOU_DATE="","",shinsei_KOUJI_KANRYOU_DATE)</f>
        <v>42348</v>
      </c>
      <c r="J455" s="257" t="s">
        <v>783</v>
      </c>
    </row>
    <row r="456" spans="1:10" s="11" customFormat="1" ht="12.75" customHeight="1">
      <c r="A456" s="52"/>
      <c r="B456" s="52"/>
      <c r="C456" s="13" t="s">
        <v>784</v>
      </c>
      <c r="D456" s="13"/>
      <c r="E456" s="13"/>
      <c r="F456" s="13" t="s">
        <v>3780</v>
      </c>
      <c r="G456" s="96"/>
      <c r="H456" s="12" t="s">
        <v>2056</v>
      </c>
      <c r="I456" s="317">
        <f>IF(shinsei_final_KAN_KANRYOU_YOTEI_DATE="","",shinsei_final_KAN_KANRYOU_YOTEI_DATE)</f>
      </c>
      <c r="J456" s="257" t="s">
        <v>2057</v>
      </c>
    </row>
    <row r="457" spans="1:11" s="11" customFormat="1" ht="12.75" customHeight="1">
      <c r="A457" s="52"/>
      <c r="B457" s="52"/>
      <c r="C457" s="13" t="s">
        <v>2058</v>
      </c>
      <c r="D457" s="13"/>
      <c r="E457" s="13"/>
      <c r="F457" s="13" t="s">
        <v>3409</v>
      </c>
      <c r="G457" s="55"/>
      <c r="H457" s="12" t="s">
        <v>2059</v>
      </c>
      <c r="I457" s="83">
        <f>IF(OR(cst_shinsei_INSPECTION_TYPE_class3="確認申請",cst_shinsei_INSPECTION_TYPE_class3="中間検査"),cst_shinsei_KOUJI_KANRYOU_DATE,IF(cst_shinsei_INSPECTION_TYPE_class3="完了検査",cst_shinsei_final_KAN_KANRYOU_YOTEI_DATE,""))</f>
        <v>42348</v>
      </c>
      <c r="J457" s="257"/>
      <c r="K457" s="257"/>
    </row>
    <row r="458" spans="1:12" s="55" customFormat="1" ht="12.75" customHeight="1">
      <c r="A458" s="86"/>
      <c r="B458" s="60" t="s">
        <v>2060</v>
      </c>
      <c r="C458" s="86"/>
      <c r="D458" s="86"/>
      <c r="E458" s="86"/>
      <c r="F458" s="86" t="s">
        <v>3409</v>
      </c>
      <c r="H458" s="55" t="s">
        <v>2061</v>
      </c>
      <c r="I458" s="83">
        <f>IF(cst_shinsei_KOUJI_KANRYOU_DATE__common="",cst_DISP__date,cst_shinsei_KOUJI_KANRYOU_DATE__common)</f>
        <v>42348</v>
      </c>
      <c r="J458" s="309"/>
      <c r="K458" s="84"/>
      <c r="L458" s="84"/>
    </row>
    <row r="459" spans="1:10" ht="11.25">
      <c r="A459" s="321"/>
      <c r="B459" s="321"/>
      <c r="C459" s="321"/>
      <c r="D459" s="321"/>
      <c r="E459" s="321"/>
      <c r="F459" s="321" t="s">
        <v>3409</v>
      </c>
      <c r="J459" s="188"/>
    </row>
    <row r="460" ht="12.75" customHeight="1">
      <c r="F460" s="318" t="s">
        <v>3409</v>
      </c>
    </row>
    <row r="461" spans="1:6" s="11" customFormat="1" ht="12.75" customHeight="1">
      <c r="A461" s="64" t="s">
        <v>1355</v>
      </c>
      <c r="B461" s="64"/>
      <c r="C461" s="64"/>
      <c r="D461" s="64"/>
      <c r="E461" s="64"/>
      <c r="F461" s="64" t="s">
        <v>3409</v>
      </c>
    </row>
    <row r="462" spans="1:7" s="11" customFormat="1" ht="12.75" customHeight="1">
      <c r="A462" s="13"/>
      <c r="B462" s="13"/>
      <c r="C462" s="13"/>
      <c r="D462" s="13"/>
      <c r="E462" s="13"/>
      <c r="F462" s="13" t="s">
        <v>3409</v>
      </c>
      <c r="G462" s="12"/>
    </row>
    <row r="463" spans="1:9" s="11" customFormat="1" ht="12.75" customHeight="1">
      <c r="A463" s="52"/>
      <c r="B463" s="13" t="s">
        <v>1356</v>
      </c>
      <c r="C463" s="13"/>
      <c r="D463" s="13"/>
      <c r="E463" s="13"/>
      <c r="F463" s="13" t="s">
        <v>3409</v>
      </c>
      <c r="G463" s="12"/>
      <c r="H463" s="12"/>
      <c r="I463" s="12"/>
    </row>
    <row r="464" spans="1:10" s="11" customFormat="1" ht="12.75" customHeight="1">
      <c r="A464" s="52"/>
      <c r="B464" s="13"/>
      <c r="C464" s="13" t="s">
        <v>1357</v>
      </c>
      <c r="D464" s="13"/>
      <c r="E464" s="13"/>
      <c r="F464" s="13" t="s">
        <v>3781</v>
      </c>
      <c r="G464" s="17" t="s">
        <v>3654</v>
      </c>
      <c r="H464" s="12"/>
      <c r="I464" s="80"/>
      <c r="J464" s="11" t="s">
        <v>1364</v>
      </c>
    </row>
    <row r="465" spans="1:9" s="11" customFormat="1" ht="12.75" customHeight="1">
      <c r="A465" s="52"/>
      <c r="B465" s="13"/>
      <c r="C465" s="13" t="s">
        <v>1365</v>
      </c>
      <c r="D465" s="13"/>
      <c r="E465" s="13"/>
      <c r="F465" s="13" t="s">
        <v>3782</v>
      </c>
      <c r="G465" s="17" t="s">
        <v>3656</v>
      </c>
      <c r="H465" s="12"/>
      <c r="I465" s="12"/>
    </row>
    <row r="466" spans="1:9" s="11" customFormat="1" ht="12.75" customHeight="1">
      <c r="A466" s="52"/>
      <c r="B466" s="13" t="s">
        <v>1366</v>
      </c>
      <c r="C466" s="13"/>
      <c r="D466" s="13"/>
      <c r="E466" s="13"/>
      <c r="F466" s="13" t="s">
        <v>1367</v>
      </c>
      <c r="G466" s="96" t="s">
        <v>3783</v>
      </c>
      <c r="H466" s="12"/>
      <c r="I466" s="12"/>
    </row>
    <row r="467" spans="1:9" s="11" customFormat="1" ht="12.75" customHeight="1">
      <c r="A467" s="52"/>
      <c r="B467" s="52"/>
      <c r="C467" s="13"/>
      <c r="D467" s="13"/>
      <c r="E467" s="13"/>
      <c r="F467" s="13" t="s">
        <v>3409</v>
      </c>
      <c r="G467" s="12"/>
      <c r="H467" s="12"/>
      <c r="I467" s="12"/>
    </row>
    <row r="468" spans="1:9" s="11" customFormat="1" ht="12.75" customHeight="1">
      <c r="A468" s="52"/>
      <c r="B468" s="13" t="s">
        <v>1590</v>
      </c>
      <c r="C468" s="13"/>
      <c r="D468" s="13"/>
      <c r="E468" s="13"/>
      <c r="F468" s="318" t="s">
        <v>3784</v>
      </c>
      <c r="G468" s="96">
        <v>42278</v>
      </c>
      <c r="H468" s="49" t="s">
        <v>1368</v>
      </c>
      <c r="I468" s="82">
        <f>IF(shinsei_FIRE_SUBMIT_DATE="","",shinsei_FIRE_SUBMIT_DATE)</f>
        <v>42278</v>
      </c>
    </row>
    <row r="469" spans="1:9" s="11" customFormat="1" ht="12.75" customHeight="1">
      <c r="A469" s="52"/>
      <c r="B469" s="13"/>
      <c r="C469" s="13"/>
      <c r="D469" s="13"/>
      <c r="E469" s="13"/>
      <c r="F469" s="13" t="s">
        <v>3409</v>
      </c>
      <c r="G469" s="12"/>
      <c r="H469" s="49" t="s">
        <v>1094</v>
      </c>
      <c r="I469" s="83">
        <f>IF(shinsei_FIRE_SUBMIT_DATE="",cst_DISP__date,shinsei_FIRE_SUBMIT_DATE)</f>
        <v>42278</v>
      </c>
    </row>
    <row r="470" spans="1:9" s="11" customFormat="1" ht="12.75" customHeight="1">
      <c r="A470" s="52"/>
      <c r="B470" s="13"/>
      <c r="C470" s="13"/>
      <c r="D470" s="13"/>
      <c r="E470" s="13"/>
      <c r="F470" s="13" t="s">
        <v>3409</v>
      </c>
      <c r="G470" s="12"/>
      <c r="H470" s="12"/>
      <c r="I470" s="12"/>
    </row>
    <row r="471" spans="1:9" s="11" customFormat="1" ht="12.75" customHeight="1">
      <c r="A471" s="52"/>
      <c r="B471" s="13" t="s">
        <v>1508</v>
      </c>
      <c r="C471" s="52"/>
      <c r="D471" s="13"/>
      <c r="E471" s="13"/>
      <c r="F471" s="318" t="s">
        <v>3785</v>
      </c>
      <c r="G471" s="96"/>
      <c r="H471" s="49" t="s">
        <v>1369</v>
      </c>
      <c r="I471" s="82">
        <f>IF(shinsei_FIRE_NOTIFY_DATE="","",shinsei_FIRE_NOTIFY_DATE)</f>
      </c>
    </row>
    <row r="472" spans="2:9" ht="12.75" customHeight="1">
      <c r="B472" s="323"/>
      <c r="F472" s="49" t="s">
        <v>3409</v>
      </c>
      <c r="H472" s="49" t="s">
        <v>1095</v>
      </c>
      <c r="I472" s="83" t="str">
        <f>IF(shinsei_FIRE_NOTIFY_DATE="",cst_DISP__date,shinsei_FIRE_NOTIFY_DATE)</f>
        <v>平成    年    月    日</v>
      </c>
    </row>
    <row r="473" spans="1:9" s="11" customFormat="1" ht="12.75" customHeight="1">
      <c r="A473" s="13"/>
      <c r="B473" s="13"/>
      <c r="C473" s="13"/>
      <c r="D473" s="13"/>
      <c r="E473" s="13"/>
      <c r="F473" s="13" t="s">
        <v>3409</v>
      </c>
      <c r="G473" s="12"/>
      <c r="H473" s="12"/>
      <c r="I473" s="12"/>
    </row>
    <row r="474" spans="1:6" s="11" customFormat="1" ht="12.75" customHeight="1">
      <c r="A474" s="64" t="s">
        <v>1370</v>
      </c>
      <c r="B474" s="64"/>
      <c r="C474" s="64"/>
      <c r="D474" s="64"/>
      <c r="E474" s="64"/>
      <c r="F474" s="64" t="s">
        <v>3409</v>
      </c>
    </row>
    <row r="475" spans="1:7" s="11" customFormat="1" ht="12.75" customHeight="1">
      <c r="A475" s="52"/>
      <c r="B475" s="52"/>
      <c r="C475" s="52"/>
      <c r="D475" s="52"/>
      <c r="E475" s="52"/>
      <c r="F475" s="52" t="s">
        <v>3409</v>
      </c>
      <c r="G475" s="80"/>
    </row>
    <row r="476" spans="1:9" s="11" customFormat="1" ht="12.75" customHeight="1">
      <c r="A476" s="52"/>
      <c r="B476" s="13" t="s">
        <v>1371</v>
      </c>
      <c r="C476" s="13"/>
      <c r="D476" s="13"/>
      <c r="E476" s="13"/>
      <c r="F476" s="13" t="s">
        <v>3409</v>
      </c>
      <c r="G476" s="12"/>
      <c r="H476" s="12"/>
      <c r="I476" s="12"/>
    </row>
    <row r="477" spans="1:10" s="11" customFormat="1" ht="12.75" customHeight="1">
      <c r="A477" s="52"/>
      <c r="B477" s="14"/>
      <c r="C477" s="13" t="s">
        <v>693</v>
      </c>
      <c r="D477" s="13"/>
      <c r="E477" s="13"/>
      <c r="F477" s="13" t="s">
        <v>3786</v>
      </c>
      <c r="G477" s="17" t="s">
        <v>3660</v>
      </c>
      <c r="H477" s="12"/>
      <c r="I477" s="12"/>
      <c r="J477" s="11" t="s">
        <v>1364</v>
      </c>
    </row>
    <row r="478" spans="1:9" s="11" customFormat="1" ht="12.75" customHeight="1">
      <c r="A478" s="52"/>
      <c r="B478" s="14"/>
      <c r="C478" s="13" t="s">
        <v>1365</v>
      </c>
      <c r="D478" s="13"/>
      <c r="E478" s="13"/>
      <c r="F478" s="13" t="s">
        <v>3787</v>
      </c>
      <c r="G478" s="17"/>
      <c r="H478" s="12"/>
      <c r="I478" s="12"/>
    </row>
    <row r="479" spans="1:10" s="11" customFormat="1" ht="12.75" customHeight="1">
      <c r="A479" s="52"/>
      <c r="B479" s="14" t="s">
        <v>1372</v>
      </c>
      <c r="C479" s="13"/>
      <c r="D479" s="13"/>
      <c r="E479" s="13"/>
      <c r="F479" s="13" t="s">
        <v>3788</v>
      </c>
      <c r="G479" s="17"/>
      <c r="H479" s="12"/>
      <c r="I479" s="12"/>
      <c r="J479" s="11" t="s">
        <v>2646</v>
      </c>
    </row>
    <row r="480" spans="1:9" s="11" customFormat="1" ht="12.75" customHeight="1">
      <c r="A480" s="52"/>
      <c r="B480" s="13"/>
      <c r="C480" s="13" t="s">
        <v>2647</v>
      </c>
      <c r="D480" s="13"/>
      <c r="E480" s="13"/>
      <c r="F480" s="13" t="s">
        <v>3789</v>
      </c>
      <c r="G480" s="14" t="s">
        <v>3409</v>
      </c>
      <c r="H480" s="11" t="s">
        <v>2243</v>
      </c>
      <c r="I480" s="18">
        <f>IF(shinsei_build_STAT_SEPTICTANK_SYORI="","",shinsei_build_STAT_SEPTICTANK_SYORI)</f>
      </c>
    </row>
    <row r="481" spans="1:9" s="11" customFormat="1" ht="12.75" customHeight="1">
      <c r="A481" s="52"/>
      <c r="B481" s="13"/>
      <c r="C481" s="13" t="s">
        <v>2648</v>
      </c>
      <c r="D481" s="13"/>
      <c r="E481" s="13"/>
      <c r="F481" s="13" t="s">
        <v>3790</v>
      </c>
      <c r="G481" s="14" t="s">
        <v>3409</v>
      </c>
      <c r="H481" s="12" t="s">
        <v>2849</v>
      </c>
      <c r="I481" s="18">
        <f>IF(shinsei_build_STAT_SEPTICTANK_CAPACITY="","",shinsei_build_STAT_SEPTICTANK_CAPACITY)</f>
      </c>
    </row>
    <row r="482" spans="1:10" s="50" customFormat="1" ht="12.75" customHeight="1">
      <c r="A482" s="60"/>
      <c r="B482" s="49"/>
      <c r="C482" s="52" t="s">
        <v>2649</v>
      </c>
      <c r="D482" s="49"/>
      <c r="E482" s="49"/>
      <c r="F482" s="49" t="s">
        <v>3409</v>
      </c>
      <c r="G482" s="4"/>
      <c r="H482" s="11" t="s">
        <v>2941</v>
      </c>
      <c r="I482" s="56">
        <f>IF(shinsei_build_STAT_SEPTICTANK_SYORI="","",shinsei_build_STAT_SEPTICTANK_SYORI&amp;"　"&amp;shinsei_build_STAT_SEPTICTANK_CAPACITY)</f>
      </c>
      <c r="J482" s="11"/>
    </row>
    <row r="483" spans="1:9" s="11" customFormat="1" ht="12.75" customHeight="1">
      <c r="A483" s="52"/>
      <c r="B483" s="13" t="s">
        <v>2942</v>
      </c>
      <c r="C483" s="13"/>
      <c r="D483" s="13"/>
      <c r="E483" s="13"/>
      <c r="F483" s="13" t="s">
        <v>3409</v>
      </c>
      <c r="G483" s="12"/>
      <c r="H483" s="12"/>
      <c r="I483" s="12"/>
    </row>
    <row r="484" spans="1:10" s="11" customFormat="1" ht="12.75" customHeight="1">
      <c r="A484" s="52"/>
      <c r="B484" s="14"/>
      <c r="C484" s="13" t="s">
        <v>2237</v>
      </c>
      <c r="D484" s="13"/>
      <c r="E484" s="13"/>
      <c r="F484" s="318" t="s">
        <v>3791</v>
      </c>
      <c r="G484" s="96"/>
      <c r="H484" s="12" t="s">
        <v>2943</v>
      </c>
      <c r="I484" s="85">
        <f>IF(shinsei_HEALTH_NOTIFY_DATE="","",shinsei_HEALTH_NOTIFY_DATE)</f>
      </c>
      <c r="J484" s="11" t="s">
        <v>3024</v>
      </c>
    </row>
    <row r="485" spans="1:9" s="50" customFormat="1" ht="12.75" customHeight="1">
      <c r="A485" s="60"/>
      <c r="B485" s="49"/>
      <c r="C485" s="49"/>
      <c r="D485" s="49"/>
      <c r="E485" s="49"/>
      <c r="F485" s="49" t="s">
        <v>3409</v>
      </c>
      <c r="G485" s="4"/>
      <c r="H485" s="12" t="s">
        <v>1096</v>
      </c>
      <c r="I485" s="45" t="str">
        <f>IF(cst_shinsei_HEALTH_NOTIFY_DATE="",cst_DISP__date,cst_shinsei_HEALTH_NOTIFY_DATE)</f>
        <v>平成    年    月    日</v>
      </c>
    </row>
    <row r="486" spans="2:9" ht="12.75" customHeight="1">
      <c r="B486" s="49" t="s">
        <v>2631</v>
      </c>
      <c r="F486" s="318" t="s">
        <v>3792</v>
      </c>
      <c r="H486" s="4" t="s">
        <v>2632</v>
      </c>
      <c r="I486" s="16">
        <f>IF(shinsei_SEPTICTANK_KOUZOU_SYURUI="","",shinsei_SEPTICTANK_KOUZOU_SYURUI)</f>
      </c>
    </row>
    <row r="487" ht="12.75" customHeight="1">
      <c r="F487" s="318" t="s">
        <v>3409</v>
      </c>
    </row>
    <row r="488" spans="1:6" ht="12.75" customHeight="1">
      <c r="A488" s="59" t="s">
        <v>305</v>
      </c>
      <c r="B488" s="59"/>
      <c r="C488" s="59"/>
      <c r="D488" s="59"/>
      <c r="E488" s="59"/>
      <c r="F488" s="319" t="s">
        <v>3409</v>
      </c>
    </row>
    <row r="489" ht="12.75" customHeight="1">
      <c r="F489" s="318" t="s">
        <v>3409</v>
      </c>
    </row>
    <row r="490" spans="2:9" ht="12.75" customHeight="1">
      <c r="B490" s="49" t="s">
        <v>3220</v>
      </c>
      <c r="F490" s="318" t="s">
        <v>3793</v>
      </c>
      <c r="G490" s="96"/>
      <c r="H490" s="4" t="s">
        <v>745</v>
      </c>
      <c r="I490" s="21">
        <f>IF(shinsei_KAKUNINZUMI_HOUKOKU_GYOSEI_DATE="","",shinsei_KAKUNINZUMI_HOUKOKU_GYOSEI_DATE)</f>
      </c>
    </row>
    <row r="491" spans="2:9" ht="12.75" customHeight="1">
      <c r="B491" s="49" t="s">
        <v>1277</v>
      </c>
      <c r="F491" s="318" t="s">
        <v>3794</v>
      </c>
      <c r="G491" s="96"/>
      <c r="H491" s="4" t="s">
        <v>1278</v>
      </c>
      <c r="I491" s="21">
        <f>IF(shinsei_build_DOURO_SIKITI_HASSO_DATE="","",shinsei_build_DOURO_SIKITI_HASSO_DATE)</f>
      </c>
    </row>
    <row r="492" spans="6:9" ht="12.75" customHeight="1">
      <c r="F492" s="318" t="s">
        <v>3409</v>
      </c>
      <c r="G492" s="96"/>
      <c r="H492" s="4" t="s">
        <v>1279</v>
      </c>
      <c r="I492" s="22" t="str">
        <f>IF(shinsei_build_DOURO_SIKITI_HASSO_DATE="",cst_DISP__date,shinsei_build_DOURO_SIKITI_HASSO_DATE)</f>
        <v>平成    年    月    日</v>
      </c>
    </row>
    <row r="493" spans="1:10" s="11" customFormat="1" ht="12.75" customHeight="1">
      <c r="A493" s="52"/>
      <c r="B493" s="13" t="s">
        <v>445</v>
      </c>
      <c r="C493" s="13"/>
      <c r="D493" s="13"/>
      <c r="E493" s="13"/>
      <c r="F493" s="13" t="s">
        <v>901</v>
      </c>
      <c r="G493" s="17" t="s">
        <v>3795</v>
      </c>
      <c r="H493" s="12" t="s">
        <v>902</v>
      </c>
      <c r="I493" s="18" t="str">
        <f>IF(shinsei_build_STAT_HOU6_1="","",shinsei_build_STAT_HOU6_1)</f>
        <v>２号</v>
      </c>
      <c r="J493" s="11" t="s">
        <v>903</v>
      </c>
    </row>
    <row r="494" spans="2:9" ht="12.75" customHeight="1">
      <c r="B494" s="60" t="s">
        <v>1302</v>
      </c>
      <c r="C494" s="60"/>
      <c r="D494" s="60"/>
      <c r="F494" s="60" t="s">
        <v>3796</v>
      </c>
      <c r="G494" s="8" t="s">
        <v>3409</v>
      </c>
      <c r="H494" s="4" t="s">
        <v>1303</v>
      </c>
      <c r="I494" s="16">
        <f>IF(shinsei_ACCEPT_TOKKI_JIKOU="","",shinsei_ACCEPT_TOKKI_JIKOU)</f>
      </c>
    </row>
    <row r="495" ht="12.75" customHeight="1">
      <c r="F495" s="318" t="s">
        <v>3409</v>
      </c>
    </row>
    <row r="496" ht="12.75" customHeight="1">
      <c r="F496" s="318" t="s">
        <v>3409</v>
      </c>
    </row>
    <row r="497" spans="1:6" ht="12.75" customHeight="1">
      <c r="A497" s="59" t="s">
        <v>309</v>
      </c>
      <c r="B497" s="59"/>
      <c r="C497" s="59"/>
      <c r="D497" s="59"/>
      <c r="E497" s="59"/>
      <c r="F497" s="319" t="s">
        <v>3409</v>
      </c>
    </row>
    <row r="498" ht="12.75" customHeight="1">
      <c r="F498" s="318" t="s">
        <v>3409</v>
      </c>
    </row>
    <row r="499" spans="1:9" s="11" customFormat="1" ht="12.75" customHeight="1">
      <c r="A499" s="52"/>
      <c r="B499" s="13" t="s">
        <v>2268</v>
      </c>
      <c r="C499" s="13"/>
      <c r="D499" s="13"/>
      <c r="E499" s="13"/>
      <c r="F499" s="13" t="s">
        <v>198</v>
      </c>
      <c r="G499" s="14" t="s">
        <v>3409</v>
      </c>
      <c r="H499" s="12" t="s">
        <v>3203</v>
      </c>
      <c r="I499" s="54">
        <f>IF(shinsei_ev_EV_BILL_NAME="","",shinsei_ev_EV_BILL_NAME)</f>
      </c>
    </row>
    <row r="500" spans="1:9" s="11" customFormat="1" ht="12.75" customHeight="1">
      <c r="A500" s="13"/>
      <c r="B500" s="13" t="s">
        <v>199</v>
      </c>
      <c r="C500" s="13"/>
      <c r="D500" s="13"/>
      <c r="E500" s="13"/>
      <c r="F500" s="13" t="s">
        <v>200</v>
      </c>
      <c r="G500" s="14" t="s">
        <v>3409</v>
      </c>
      <c r="H500" s="12" t="s">
        <v>3025</v>
      </c>
      <c r="I500" s="18">
        <f>IF(shinsei_ev_EV_BILL_YOUTO="","",shinsei_ev_EV_BILL_YOUTO)</f>
      </c>
    </row>
    <row r="501" spans="1:9" s="11" customFormat="1" ht="12.75" customHeight="1">
      <c r="A501" s="13"/>
      <c r="B501" s="13" t="s">
        <v>148</v>
      </c>
      <c r="C501" s="13"/>
      <c r="D501" s="13"/>
      <c r="E501" s="13"/>
      <c r="F501" s="13" t="s">
        <v>201</v>
      </c>
      <c r="G501" s="14" t="s">
        <v>3409</v>
      </c>
      <c r="H501" s="11" t="s">
        <v>3026</v>
      </c>
      <c r="I501" s="58">
        <f>IF(shinsei_ev_EV_SYUBETU="","",shinsei_ev_EV_SYUBETU)</f>
      </c>
    </row>
    <row r="502" spans="1:9" s="11" customFormat="1" ht="12.75" customHeight="1">
      <c r="A502" s="13"/>
      <c r="B502" s="13" t="s">
        <v>199</v>
      </c>
      <c r="C502" s="13"/>
      <c r="D502" s="13"/>
      <c r="E502" s="13"/>
      <c r="F502" s="13" t="s">
        <v>202</v>
      </c>
      <c r="G502" s="14" t="s">
        <v>3409</v>
      </c>
      <c r="H502" s="11" t="s">
        <v>3027</v>
      </c>
      <c r="I502" s="58">
        <f>IF(shinsei_ev_EV_YOUTO="","",shinsei_ev_EV_YOUTO)</f>
      </c>
    </row>
    <row r="503" spans="1:10" s="11" customFormat="1" ht="12.75" customHeight="1">
      <c r="A503" s="13" t="s">
        <v>1596</v>
      </c>
      <c r="B503" s="13" t="s">
        <v>203</v>
      </c>
      <c r="C503" s="13"/>
      <c r="D503" s="13"/>
      <c r="E503" s="13"/>
      <c r="F503" s="13" t="s">
        <v>204</v>
      </c>
      <c r="G503" s="14" t="s">
        <v>3409</v>
      </c>
      <c r="H503" s="12" t="s">
        <v>3028</v>
      </c>
      <c r="I503" s="18">
        <f>IF(ISERROR(SEARCH("-",shinsei_ev_EV_SEKISAI)),IF(ISERROR(SEARCH("/",shinsei_ev_EV_SEKISAI)),TEXT(shinsei_ev_EV_SEKISAI,"#,##0"),shinsei_ev_EV_SEKISAI),shinsei_ev_EV_SEKISAI)</f>
      </c>
      <c r="J503" s="11" t="s">
        <v>1597</v>
      </c>
    </row>
    <row r="504" spans="1:10" s="11" customFormat="1" ht="12.75" customHeight="1">
      <c r="A504" s="13" t="s">
        <v>1596</v>
      </c>
      <c r="B504" s="13" t="s">
        <v>205</v>
      </c>
      <c r="C504" s="13"/>
      <c r="D504" s="13"/>
      <c r="E504" s="13"/>
      <c r="F504" s="13" t="s">
        <v>206</v>
      </c>
      <c r="G504" s="14" t="s">
        <v>3409</v>
      </c>
      <c r="H504" s="12" t="s">
        <v>3029</v>
      </c>
      <c r="I504" s="18">
        <f>IF(ISERROR(SEARCH("-",shinsei_ev_EV_TEIIN)),IF(ISERROR(SEARCH("/",shinsei_ev_EV_TEIIN)),TEXT(shinsei_ev_EV_TEIIN,"#,##0"),shinsei_ev_EV_TEIIN),shinsei_ev_EV_TEIIN)</f>
      </c>
      <c r="J504" s="11" t="s">
        <v>1597</v>
      </c>
    </row>
    <row r="505" spans="1:10" s="11" customFormat="1" ht="12.75" customHeight="1">
      <c r="A505" s="13"/>
      <c r="B505" s="13"/>
      <c r="C505" s="13" t="s">
        <v>2657</v>
      </c>
      <c r="D505" s="13"/>
      <c r="E505" s="13"/>
      <c r="F505" s="13" t="s">
        <v>3409</v>
      </c>
      <c r="G505" s="4"/>
      <c r="H505" s="4" t="s">
        <v>2656</v>
      </c>
      <c r="I505" s="20" t="str">
        <f>IF(shinsei_ev_EV_SYUBETU=""," 人",IF(OR(LEFT(shinsei_ev_EV_SYUBETU,2)="エス",LEFT(shinsei_ev_EV_SYUBETU,2)="ｴｽ")," 人/時"," 人"))</f>
        <v> 人</v>
      </c>
      <c r="J505" s="11" t="s">
        <v>1595</v>
      </c>
    </row>
    <row r="506" spans="1:10" s="11" customFormat="1" ht="12.75" customHeight="1">
      <c r="A506" s="13" t="s">
        <v>1596</v>
      </c>
      <c r="B506" s="13" t="s">
        <v>207</v>
      </c>
      <c r="C506" s="13"/>
      <c r="D506" s="13"/>
      <c r="E506" s="13"/>
      <c r="F506" s="13" t="s">
        <v>208</v>
      </c>
      <c r="G506" s="78"/>
      <c r="H506" s="12" t="s">
        <v>3030</v>
      </c>
      <c r="I506" s="89" t="str">
        <f>IF(ISERROR(SEARCH("-",shinsei_ev_EV_SPEED)),IF(ISERROR(SEARCH("/",shinsei_ev_EV_SPEED)),TEXT(shinsei_ev_EV_SPEED,"#,##0"),shinsei_ev_EV_SPEED),shinsei_ev_EV_SPEED)</f>
        <v>0</v>
      </c>
      <c r="J506" s="11" t="s">
        <v>1597</v>
      </c>
    </row>
    <row r="507" spans="1:9" s="11" customFormat="1" ht="12.75" customHeight="1">
      <c r="A507" s="13"/>
      <c r="B507" s="13" t="s">
        <v>209</v>
      </c>
      <c r="C507" s="13"/>
      <c r="D507" s="13"/>
      <c r="E507" s="13"/>
      <c r="F507" s="13" t="s">
        <v>210</v>
      </c>
      <c r="G507" s="14" t="s">
        <v>3409</v>
      </c>
      <c r="H507" s="12" t="s">
        <v>2358</v>
      </c>
      <c r="I507" s="18">
        <f>IF(shinsei_ev_EV_SONOTA="","",shinsei_ev_EV_SONOTA)</f>
      </c>
    </row>
    <row r="508" spans="1:10" s="11" customFormat="1" ht="12.75" customHeight="1">
      <c r="A508" s="52"/>
      <c r="B508" s="13" t="s">
        <v>211</v>
      </c>
      <c r="C508" s="13"/>
      <c r="D508" s="13"/>
      <c r="E508" s="13"/>
      <c r="F508" s="13" t="s">
        <v>212</v>
      </c>
      <c r="G508" s="14" t="s">
        <v>3409</v>
      </c>
      <c r="H508" s="12" t="s">
        <v>2359</v>
      </c>
      <c r="I508" s="18">
        <f>IF(shinsei_EV_TYPE="","",shinsei_EV_TYPE)</f>
      </c>
      <c r="J508" s="11" t="s">
        <v>213</v>
      </c>
    </row>
    <row r="509" spans="1:9" s="50" customFormat="1" ht="12.75" customHeight="1">
      <c r="A509" s="60"/>
      <c r="B509" s="60" t="s">
        <v>214</v>
      </c>
      <c r="C509" s="49"/>
      <c r="D509" s="49"/>
      <c r="E509" s="49"/>
      <c r="F509" s="49" t="s">
        <v>3797</v>
      </c>
      <c r="G509" s="48"/>
      <c r="H509" s="15" t="s">
        <v>2319</v>
      </c>
      <c r="I509" s="16" t="str">
        <f>IF(shinsei_ev_EV_COUNT="","1",shinsei_ev_EV_COUNT)</f>
        <v>1</v>
      </c>
    </row>
    <row r="510" ht="12.75" customHeight="1">
      <c r="F510" s="318" t="s">
        <v>3409</v>
      </c>
    </row>
    <row r="511" spans="6:8" ht="12.75" customHeight="1">
      <c r="F511" s="318" t="s">
        <v>3409</v>
      </c>
      <c r="H511" s="49">
        <f>shinsei_ev_EV_SEKISAI</f>
      </c>
    </row>
    <row r="512" spans="1:6" ht="12.75" customHeight="1">
      <c r="A512" s="59" t="s">
        <v>3200</v>
      </c>
      <c r="B512" s="59"/>
      <c r="C512" s="59"/>
      <c r="D512" s="59"/>
      <c r="E512" s="59"/>
      <c r="F512" s="319" t="s">
        <v>3409</v>
      </c>
    </row>
    <row r="513" spans="6:8" ht="12.75" customHeight="1">
      <c r="F513" s="318" t="s">
        <v>3409</v>
      </c>
      <c r="H513" s="12"/>
    </row>
    <row r="514" spans="2:10" ht="12.75" customHeight="1">
      <c r="B514" s="13" t="s">
        <v>3201</v>
      </c>
      <c r="F514" s="13" t="s">
        <v>56</v>
      </c>
      <c r="G514" s="17"/>
      <c r="H514" s="12" t="s">
        <v>2071</v>
      </c>
      <c r="I514" s="18">
        <f>IF(shinsei_WORK_88="","",shinsei_WORK_88)</f>
      </c>
      <c r="J514" s="11" t="s">
        <v>2072</v>
      </c>
    </row>
    <row r="515" spans="1:9" s="11" customFormat="1" ht="12.75" customHeight="1">
      <c r="A515" s="52"/>
      <c r="B515" s="13" t="s">
        <v>215</v>
      </c>
      <c r="C515" s="52"/>
      <c r="D515" s="52"/>
      <c r="E515" s="13"/>
      <c r="F515" s="13" t="s">
        <v>3798</v>
      </c>
      <c r="G515" s="17"/>
      <c r="H515" s="11" t="s">
        <v>216</v>
      </c>
      <c r="I515" s="57">
        <f>IF(shinsei_ev_WORKCOUNT_SHINSEI="","",shinsei_ev_WORKCOUNT_SHINSEI)</f>
      </c>
    </row>
    <row r="516" spans="1:9" s="11" customFormat="1" ht="12.75" customHeight="1">
      <c r="A516" s="52"/>
      <c r="B516" s="13" t="s">
        <v>217</v>
      </c>
      <c r="C516" s="13"/>
      <c r="D516" s="13"/>
      <c r="E516" s="13"/>
      <c r="F516" s="13" t="s">
        <v>3409</v>
      </c>
      <c r="G516" s="12"/>
      <c r="H516" s="12"/>
      <c r="I516" s="12"/>
    </row>
    <row r="517" spans="1:9" s="11" customFormat="1" ht="12.75" customHeight="1">
      <c r="A517" s="52"/>
      <c r="B517" s="13"/>
      <c r="C517" s="13" t="s">
        <v>218</v>
      </c>
      <c r="D517" s="13"/>
      <c r="E517" s="13"/>
      <c r="F517" s="13" t="s">
        <v>219</v>
      </c>
      <c r="G517" s="17"/>
      <c r="H517" s="11" t="s">
        <v>3226</v>
      </c>
      <c r="I517" s="58">
        <f>IF(shinsei_ev_KOUSAKU_SYURUI_CODE="","",shinsei_ev_KOUSAKU_SYURUI_CODE)</f>
      </c>
    </row>
    <row r="518" spans="1:9" s="11" customFormat="1" ht="12.75" customHeight="1">
      <c r="A518" s="52"/>
      <c r="B518" s="13"/>
      <c r="C518" s="13" t="s">
        <v>220</v>
      </c>
      <c r="D518" s="13"/>
      <c r="E518" s="13"/>
      <c r="F518" s="13" t="s">
        <v>221</v>
      </c>
      <c r="G518" s="17"/>
      <c r="H518" s="11" t="s">
        <v>3227</v>
      </c>
      <c r="I518" s="58">
        <f>IF(shinsei_ev_KOUSAKU_SYURUI="","",shinsei_ev_KOUSAKU_SYURUI)</f>
      </c>
    </row>
    <row r="519" spans="1:9" s="11" customFormat="1" ht="12.75" customHeight="1">
      <c r="A519" s="52"/>
      <c r="B519" s="13"/>
      <c r="C519" s="13" t="s">
        <v>222</v>
      </c>
      <c r="D519" s="13"/>
      <c r="E519" s="13"/>
      <c r="F519" s="13" t="s">
        <v>223</v>
      </c>
      <c r="G519" s="311"/>
      <c r="H519" s="11" t="s">
        <v>3228</v>
      </c>
      <c r="I519" s="310">
        <f>IF(shinsei_ev_KOUSAKU_TAKASA="","",shinsei_ev_KOUSAKU_TAKASA)</f>
      </c>
    </row>
    <row r="520" spans="1:9" s="11" customFormat="1" ht="12.75" customHeight="1">
      <c r="A520" s="52"/>
      <c r="B520" s="13"/>
      <c r="C520" s="13" t="s">
        <v>224</v>
      </c>
      <c r="D520" s="13"/>
      <c r="E520" s="13"/>
      <c r="F520" s="13" t="s">
        <v>3799</v>
      </c>
      <c r="G520" s="311"/>
      <c r="H520" s="12" t="s">
        <v>2062</v>
      </c>
      <c r="I520" s="310">
        <f>IF(shinsei_ev_KOUSAKU_TAKASA_MAX="","",shinsei_ev_KOUSAKU_TAKASA_MAX)</f>
      </c>
    </row>
    <row r="521" spans="1:9" s="11" customFormat="1" ht="12.75" customHeight="1">
      <c r="A521" s="52"/>
      <c r="B521" s="13"/>
      <c r="C521" s="52"/>
      <c r="D521" s="13" t="s">
        <v>1599</v>
      </c>
      <c r="E521" s="13"/>
      <c r="F521" s="13" t="s">
        <v>3409</v>
      </c>
      <c r="G521" s="312"/>
      <c r="H521" s="11" t="s">
        <v>2945</v>
      </c>
      <c r="I521" s="313">
        <f>IF(cst_shinsei_ev_KOUSAKU_TAKASA_MAX="","",cst_shinsei_ev_KOUSAKU_TAKASA)</f>
      </c>
    </row>
    <row r="522" spans="1:9" s="11" customFormat="1" ht="12.75" customHeight="1">
      <c r="A522" s="52"/>
      <c r="B522" s="13"/>
      <c r="C522" s="52"/>
      <c r="D522" s="13" t="s">
        <v>1601</v>
      </c>
      <c r="E522" s="13"/>
      <c r="F522" s="13" t="s">
        <v>3409</v>
      </c>
      <c r="G522" s="312"/>
      <c r="H522" s="11" t="s">
        <v>2947</v>
      </c>
      <c r="I522" s="313" t="str">
        <f>IF(shinsei_ev_KOUSAKU_TAKASA_MAX="","ｍ","ｍ   ～")</f>
        <v>ｍ</v>
      </c>
    </row>
    <row r="523" spans="1:9" s="11" customFormat="1" ht="12.75" customHeight="1">
      <c r="A523" s="52"/>
      <c r="B523" s="13"/>
      <c r="C523" s="52"/>
      <c r="D523" s="13" t="s">
        <v>1600</v>
      </c>
      <c r="E523" s="13"/>
      <c r="F523" s="13" t="s">
        <v>3409</v>
      </c>
      <c r="G523" s="312"/>
      <c r="H523" s="11" t="s">
        <v>2946</v>
      </c>
      <c r="I523" s="313">
        <f>IF(cst_shinsei_ev_KOUSAKU_TAKASA_MAX="","",cst_shinsei_ev_KOUSAKU_TAKASA_MAX)</f>
      </c>
    </row>
    <row r="524" spans="1:9" s="11" customFormat="1" ht="12.75" customHeight="1">
      <c r="A524" s="52"/>
      <c r="B524" s="13"/>
      <c r="C524" s="13" t="s">
        <v>225</v>
      </c>
      <c r="D524" s="13"/>
      <c r="E524" s="13"/>
      <c r="F524" s="13" t="s">
        <v>3800</v>
      </c>
      <c r="G524" s="17"/>
      <c r="H524" s="12" t="s">
        <v>2063</v>
      </c>
      <c r="I524" s="87">
        <f>IF(shinsei_ev_KOUSAKU_TAKASA_BIKO="","",shinsei_ev_KOUSAKU_TAKASA_BIKO)</f>
      </c>
    </row>
    <row r="525" spans="1:9" s="11" customFormat="1" ht="12.75" customHeight="1">
      <c r="A525" s="52"/>
      <c r="B525" s="13"/>
      <c r="C525" s="13" t="s">
        <v>226</v>
      </c>
      <c r="D525" s="13"/>
      <c r="E525" s="13"/>
      <c r="F525" s="13" t="s">
        <v>227</v>
      </c>
      <c r="G525" s="17"/>
      <c r="H525" s="11" t="s">
        <v>2064</v>
      </c>
      <c r="I525" s="57">
        <f>IF(shinsei_ev_KOUSAKU_KOUZOU="","",shinsei_ev_KOUSAKU_KOUZOU)</f>
      </c>
    </row>
    <row r="526" spans="1:9" s="11" customFormat="1" ht="12.75" customHeight="1">
      <c r="A526" s="52"/>
      <c r="B526" s="13"/>
      <c r="C526" s="13" t="s">
        <v>209</v>
      </c>
      <c r="D526" s="13"/>
      <c r="E526" s="13"/>
      <c r="F526" s="13" t="s">
        <v>48</v>
      </c>
      <c r="G526" s="17"/>
      <c r="H526" s="12" t="s">
        <v>2065</v>
      </c>
      <c r="I526" s="18">
        <f>IF(shinsei_ev_KOUSAKU_SONOTA="","",shinsei_ev_KOUSAKU_SONOTA)</f>
      </c>
    </row>
    <row r="527" spans="1:9" s="11" customFormat="1" ht="12.75" customHeight="1">
      <c r="A527" s="52"/>
      <c r="B527" s="13"/>
      <c r="C527" s="13" t="s">
        <v>49</v>
      </c>
      <c r="D527" s="13"/>
      <c r="E527" s="13"/>
      <c r="F527" s="13" t="s">
        <v>3409</v>
      </c>
      <c r="G527" s="12"/>
      <c r="H527" s="12"/>
      <c r="I527" s="12"/>
    </row>
    <row r="528" spans="1:9" s="11" customFormat="1" ht="12.75" customHeight="1">
      <c r="A528" s="52"/>
      <c r="B528" s="13"/>
      <c r="C528" s="13" t="s">
        <v>199</v>
      </c>
      <c r="D528" s="13"/>
      <c r="E528" s="13"/>
      <c r="F528" s="13" t="s">
        <v>3801</v>
      </c>
      <c r="G528" s="17"/>
      <c r="H528" s="12" t="s">
        <v>2066</v>
      </c>
      <c r="I528" s="18">
        <f>IF(shinsei_ev_KOUSAKU882_YOUTO="","",shinsei_ev_KOUSAKU882_YOUTO)</f>
      </c>
    </row>
    <row r="529" spans="1:9" s="11" customFormat="1" ht="12.75" customHeight="1">
      <c r="A529" s="52"/>
      <c r="B529" s="13"/>
      <c r="C529" s="13" t="s">
        <v>50</v>
      </c>
      <c r="D529" s="13"/>
      <c r="E529" s="13"/>
      <c r="F529" s="13" t="s">
        <v>3802</v>
      </c>
      <c r="G529" s="17"/>
      <c r="H529" s="12" t="s">
        <v>2067</v>
      </c>
      <c r="I529" s="18">
        <f>IF(shinsei_ev_TIKUZOUMENSEKI_SHINSEI="","",shinsei_ev_TIKUZOUMENSEKI_SHINSEI)</f>
      </c>
    </row>
    <row r="530" spans="1:9" s="11" customFormat="1" ht="12.75" customHeight="1">
      <c r="A530" s="52"/>
      <c r="B530" s="13"/>
      <c r="C530" s="13"/>
      <c r="D530" s="13" t="s">
        <v>1598</v>
      </c>
      <c r="E530" s="13"/>
      <c r="F530" s="13" t="s">
        <v>3409</v>
      </c>
      <c r="G530" s="4"/>
      <c r="H530" s="12" t="s">
        <v>626</v>
      </c>
      <c r="I530" s="56">
        <f>IF(shinsei_WORK_88=1,"－",IF(shinsei_ev_TIKUZOUMENSEKI_SHINSEI="","",shinsei_ev_TIKUZOUMENSEKI_SHINSEI))</f>
      </c>
    </row>
    <row r="531" spans="1:9" s="11" customFormat="1" ht="12.75" customHeight="1">
      <c r="A531" s="52"/>
      <c r="B531" s="13"/>
      <c r="C531" s="13" t="s">
        <v>51</v>
      </c>
      <c r="D531" s="13"/>
      <c r="E531" s="13"/>
      <c r="F531" s="13" t="s">
        <v>3803</v>
      </c>
      <c r="G531" s="17"/>
      <c r="H531" s="12" t="s">
        <v>2068</v>
      </c>
      <c r="I531" s="18">
        <f>IF(shinsei_ev_TIKUZOUMENSEKI_IGAI="","",shinsei_ev_TIKUZOUMENSEKI_IGAI)</f>
      </c>
    </row>
    <row r="532" spans="1:9" s="11" customFormat="1" ht="12.75" customHeight="1">
      <c r="A532" s="52"/>
      <c r="B532" s="13"/>
      <c r="C532" s="13" t="s">
        <v>52</v>
      </c>
      <c r="D532" s="13"/>
      <c r="E532" s="13"/>
      <c r="F532" s="13" t="s">
        <v>3804</v>
      </c>
      <c r="G532" s="17"/>
      <c r="H532" s="12" t="s">
        <v>2069</v>
      </c>
      <c r="I532" s="18">
        <f>IF(shinsei_ev_TIKUZOUMENSEKI_TOTAL="","",shinsei_ev_TIKUZOUMENSEKI_TOTAL)</f>
      </c>
    </row>
    <row r="533" spans="1:10" s="11" customFormat="1" ht="12.75" customHeight="1">
      <c r="A533" s="52"/>
      <c r="B533" s="13" t="s">
        <v>53</v>
      </c>
      <c r="C533" s="13"/>
      <c r="D533" s="13"/>
      <c r="E533" s="13"/>
      <c r="F533" s="13" t="s">
        <v>54</v>
      </c>
      <c r="G533" s="17"/>
      <c r="H533" s="12" t="s">
        <v>2070</v>
      </c>
      <c r="I533" s="18">
        <f>IF(shinsei_WORK_TYPE="","",shinsei_WORK_TYPE)</f>
      </c>
      <c r="J533" s="11" t="s">
        <v>55</v>
      </c>
    </row>
    <row r="534" ht="12.75" customHeight="1">
      <c r="F534" s="318" t="s">
        <v>3409</v>
      </c>
    </row>
    <row r="535" ht="12.75" customHeight="1">
      <c r="F535" s="318" t="s">
        <v>3409</v>
      </c>
    </row>
    <row r="536" spans="1:6" s="11" customFormat="1" ht="12.75" customHeight="1">
      <c r="A536" s="64" t="s">
        <v>57</v>
      </c>
      <c r="B536" s="64"/>
      <c r="C536" s="64"/>
      <c r="D536" s="64"/>
      <c r="E536" s="64"/>
      <c r="F536" s="64" t="s">
        <v>3409</v>
      </c>
    </row>
    <row r="537" spans="1:9" s="11" customFormat="1" ht="12.75" customHeight="1">
      <c r="A537" s="13"/>
      <c r="B537" s="13"/>
      <c r="C537" s="13"/>
      <c r="D537" s="13"/>
      <c r="E537" s="13"/>
      <c r="F537" s="13" t="s">
        <v>3409</v>
      </c>
      <c r="G537" s="12"/>
      <c r="H537" s="12"/>
      <c r="I537" s="12"/>
    </row>
    <row r="538" spans="1:9" s="11" customFormat="1" ht="12.75" customHeight="1">
      <c r="A538" s="52"/>
      <c r="B538" s="13" t="s">
        <v>58</v>
      </c>
      <c r="C538" s="13"/>
      <c r="D538" s="13"/>
      <c r="E538" s="13"/>
      <c r="F538" s="13" t="s">
        <v>3409</v>
      </c>
      <c r="G538" s="12"/>
      <c r="H538" s="12"/>
      <c r="I538" s="12"/>
    </row>
    <row r="539" spans="1:9" s="11" customFormat="1" ht="12.75" customHeight="1">
      <c r="A539" s="52"/>
      <c r="B539" s="13"/>
      <c r="C539" s="13" t="s">
        <v>59</v>
      </c>
      <c r="D539" s="13"/>
      <c r="E539" s="13"/>
      <c r="F539" s="13" t="s">
        <v>3805</v>
      </c>
      <c r="G539" s="14" t="s">
        <v>3409</v>
      </c>
      <c r="H539" s="12"/>
      <c r="I539" s="12"/>
    </row>
    <row r="540" spans="1:9" s="11" customFormat="1" ht="12.75" customHeight="1">
      <c r="A540" s="52"/>
      <c r="B540" s="13"/>
      <c r="C540" s="13"/>
      <c r="D540" s="13"/>
      <c r="E540" s="13"/>
      <c r="F540" s="13" t="s">
        <v>3409</v>
      </c>
      <c r="G540" s="12"/>
      <c r="H540" s="12" t="s">
        <v>2073</v>
      </c>
      <c r="I540" s="56">
        <f>IF(shinsei_BUILDSHINSEI_ISSUE_NO="","","第 "&amp;shinsei_BUILDSHINSEI_ISSUE_NO&amp;" 号")</f>
      </c>
    </row>
    <row r="541" spans="1:9" s="11" customFormat="1" ht="12.75" customHeight="1">
      <c r="A541" s="52"/>
      <c r="B541" s="13"/>
      <c r="C541" s="13" t="s">
        <v>60</v>
      </c>
      <c r="D541" s="13"/>
      <c r="E541" s="13"/>
      <c r="F541" s="13" t="s">
        <v>3806</v>
      </c>
      <c r="G541" s="96"/>
      <c r="H541" s="12"/>
      <c r="I541" s="12"/>
    </row>
    <row r="542" spans="1:9" s="11" customFormat="1" ht="12.75" customHeight="1">
      <c r="A542" s="52"/>
      <c r="B542" s="13"/>
      <c r="C542" s="13" t="s">
        <v>61</v>
      </c>
      <c r="D542" s="13"/>
      <c r="E542" s="13"/>
      <c r="F542" s="13" t="s">
        <v>3807</v>
      </c>
      <c r="G542" s="17"/>
      <c r="H542" s="12"/>
      <c r="I542" s="12"/>
    </row>
    <row r="543" spans="1:9" s="11" customFormat="1" ht="12.75" customHeight="1">
      <c r="A543" s="52"/>
      <c r="B543" s="13"/>
      <c r="C543" s="52" t="s">
        <v>1494</v>
      </c>
      <c r="D543" s="13"/>
      <c r="E543" s="13"/>
      <c r="F543" s="52" t="s">
        <v>3808</v>
      </c>
      <c r="G543" s="88"/>
      <c r="H543" s="12" t="s">
        <v>1591</v>
      </c>
      <c r="I543" s="18">
        <f>IF(buildobject__shinsei_build_kouji="","",buildobject__shinsei_build_kouji)</f>
      </c>
    </row>
    <row r="544" spans="1:9" s="11" customFormat="1" ht="12.75" customHeight="1">
      <c r="A544" s="13"/>
      <c r="B544" s="13"/>
      <c r="C544" s="13"/>
      <c r="D544" s="13"/>
      <c r="E544" s="13"/>
      <c r="F544" s="13" t="s">
        <v>3409</v>
      </c>
      <c r="G544" s="12"/>
      <c r="H544" s="12"/>
      <c r="I544" s="12"/>
    </row>
    <row r="545" spans="1:9" s="11" customFormat="1" ht="12.75" customHeight="1">
      <c r="A545" s="13"/>
      <c r="B545" s="13"/>
      <c r="C545" s="13"/>
      <c r="D545" s="13"/>
      <c r="E545" s="13"/>
      <c r="F545" s="13" t="s">
        <v>3409</v>
      </c>
      <c r="G545" s="12"/>
      <c r="H545" s="12"/>
      <c r="I545" s="12"/>
    </row>
    <row r="546" spans="1:6" s="11" customFormat="1" ht="12.75" customHeight="1">
      <c r="A546" s="64" t="s">
        <v>1495</v>
      </c>
      <c r="B546" s="64"/>
      <c r="C546" s="64"/>
      <c r="D546" s="64"/>
      <c r="E546" s="64"/>
      <c r="F546" s="64" t="s">
        <v>3409</v>
      </c>
    </row>
    <row r="547" spans="1:9" s="11" customFormat="1" ht="12.75" customHeight="1">
      <c r="A547" s="13"/>
      <c r="B547" s="13"/>
      <c r="C547" s="13"/>
      <c r="D547" s="13"/>
      <c r="E547" s="13"/>
      <c r="F547" s="52" t="s">
        <v>3409</v>
      </c>
      <c r="G547" s="12"/>
      <c r="H547" s="12"/>
      <c r="I547" s="12"/>
    </row>
    <row r="548" spans="1:9" s="11" customFormat="1" ht="12.75" customHeight="1">
      <c r="A548" s="52"/>
      <c r="B548" s="13" t="s">
        <v>1592</v>
      </c>
      <c r="C548" s="13"/>
      <c r="D548" s="13"/>
      <c r="E548" s="13"/>
      <c r="F548" s="13" t="s">
        <v>3409</v>
      </c>
      <c r="G548" s="12"/>
      <c r="H548" s="12"/>
      <c r="I548" s="12"/>
    </row>
    <row r="549" spans="1:9" s="11" customFormat="1" ht="12.75" customHeight="1">
      <c r="A549" s="52"/>
      <c r="B549" s="13"/>
      <c r="C549" s="13" t="s">
        <v>1496</v>
      </c>
      <c r="D549" s="13"/>
      <c r="E549" s="13"/>
      <c r="F549" s="13" t="s">
        <v>1497</v>
      </c>
      <c r="G549" s="17"/>
      <c r="H549" s="12" t="s">
        <v>1593</v>
      </c>
      <c r="I549" s="54">
        <f>IF(shinsei_intermediate_CYU1_KAISUU="","",shinsei_intermediate_CYU1_KAISUU)</f>
      </c>
    </row>
    <row r="550" spans="1:9" s="11" customFormat="1" ht="12.75" customHeight="1">
      <c r="A550" s="52"/>
      <c r="B550" s="13"/>
      <c r="C550" s="13" t="s">
        <v>1498</v>
      </c>
      <c r="D550" s="13"/>
      <c r="E550" s="13"/>
      <c r="F550" s="13" t="s">
        <v>1499</v>
      </c>
      <c r="G550" s="17"/>
      <c r="H550" s="12" t="s">
        <v>1594</v>
      </c>
      <c r="I550" s="58">
        <f>IF(shinsei_intermediate_SPECIFIC_KOUTEI="","",shinsei_intermediate_SPECIFIC_KOUTEI)</f>
      </c>
    </row>
    <row r="551" spans="1:9" s="11" customFormat="1" ht="12.75" customHeight="1">
      <c r="A551" s="52"/>
      <c r="B551" s="13"/>
      <c r="C551" s="13" t="s">
        <v>1500</v>
      </c>
      <c r="D551" s="13"/>
      <c r="E551" s="13"/>
      <c r="F551" s="13" t="s">
        <v>3809</v>
      </c>
      <c r="G551" s="96"/>
      <c r="H551" s="12" t="s">
        <v>1242</v>
      </c>
      <c r="I551" s="18">
        <f>IF(shinsei_intermediate_CYU1_NITTEI="","",shinsei_intermediate_CYU1_NITTEI)</f>
      </c>
    </row>
    <row r="552" spans="1:10" s="11" customFormat="1" ht="12.75" customHeight="1">
      <c r="A552" s="52"/>
      <c r="B552" s="13"/>
      <c r="H552" s="12" t="s">
        <v>2948</v>
      </c>
      <c r="I552" s="56" t="str">
        <f>IF(shinsei_intermediate_CYU1_NITTEI="",cst_DISP__date,shinsei_intermediate_CYU1_NITTEI)</f>
        <v>平成    年    月    日</v>
      </c>
      <c r="J552" s="11" t="s">
        <v>1501</v>
      </c>
    </row>
    <row r="553" spans="1:9" s="11" customFormat="1" ht="12.75" customHeight="1">
      <c r="A553" s="52"/>
      <c r="B553" s="13"/>
      <c r="C553" s="60" t="s">
        <v>2949</v>
      </c>
      <c r="D553" s="60"/>
      <c r="E553" s="50"/>
      <c r="F553" s="60" t="s">
        <v>3810</v>
      </c>
      <c r="G553" s="68" t="s">
        <v>3409</v>
      </c>
      <c r="H553" s="12" t="s">
        <v>2950</v>
      </c>
      <c r="I553" s="18">
        <f>IF(shinsei_INTER_KOUKU="","","（"&amp;shinsei_INTER_KOUKU&amp;"）")</f>
      </c>
    </row>
    <row r="554" spans="1:9" s="11" customFormat="1" ht="12.75" customHeight="1">
      <c r="A554" s="52"/>
      <c r="B554" s="13" t="s">
        <v>1401</v>
      </c>
      <c r="C554" s="13"/>
      <c r="D554" s="13"/>
      <c r="E554" s="13"/>
      <c r="F554" s="13" t="s">
        <v>1502</v>
      </c>
      <c r="G554" s="78"/>
      <c r="H554" s="12" t="s">
        <v>1402</v>
      </c>
      <c r="I554" s="89">
        <f>IF(shinsei_intermediate_CYU1_YUKA_MENSEKI="","",shinsei_intermediate_CYU1_YUKA_MENSEKI)</f>
      </c>
    </row>
    <row r="555" spans="1:9" s="11" customFormat="1" ht="12.75" customHeight="1">
      <c r="A555" s="13"/>
      <c r="B555" s="13"/>
      <c r="C555" s="13"/>
      <c r="D555" s="13"/>
      <c r="E555" s="13"/>
      <c r="F555" s="52" t="s">
        <v>3409</v>
      </c>
      <c r="G555" s="12"/>
      <c r="H555" s="12"/>
      <c r="I555" s="12"/>
    </row>
    <row r="556" spans="1:9" s="11" customFormat="1" ht="12.75" customHeight="1">
      <c r="A556" s="13"/>
      <c r="B556" s="13"/>
      <c r="C556" s="13"/>
      <c r="D556" s="13"/>
      <c r="E556" s="13"/>
      <c r="F556" s="13" t="s">
        <v>3409</v>
      </c>
      <c r="G556" s="12"/>
      <c r="I556" s="12"/>
    </row>
    <row r="557" spans="1:6" s="11" customFormat="1" ht="12.75" customHeight="1">
      <c r="A557" s="64" t="s">
        <v>1503</v>
      </c>
      <c r="B557" s="64"/>
      <c r="C557" s="64"/>
      <c r="D557" s="64"/>
      <c r="E557" s="64"/>
      <c r="F557" s="64" t="s">
        <v>3409</v>
      </c>
    </row>
    <row r="558" spans="1:9" s="11" customFormat="1" ht="12.75" customHeight="1">
      <c r="A558" s="13"/>
      <c r="B558" s="13"/>
      <c r="C558" s="13"/>
      <c r="D558" s="13"/>
      <c r="E558" s="13"/>
      <c r="F558" s="13" t="s">
        <v>3409</v>
      </c>
      <c r="G558" s="12"/>
      <c r="H558" s="12"/>
      <c r="I558" s="12"/>
    </row>
    <row r="559" spans="1:9" s="11" customFormat="1" ht="12.75" customHeight="1">
      <c r="A559" s="52"/>
      <c r="B559" s="13" t="s">
        <v>1401</v>
      </c>
      <c r="C559" s="13"/>
      <c r="D559" s="13"/>
      <c r="E559" s="13"/>
      <c r="F559" s="13" t="s">
        <v>1504</v>
      </c>
      <c r="G559" s="78"/>
      <c r="H559" s="12" t="s">
        <v>2284</v>
      </c>
      <c r="I559" s="398">
        <f>IF(shinsei_KOUJI_YUKA_MENSEKI="","",shinsei_KOUJI_YUKA_MENSEKI)</f>
      </c>
    </row>
    <row r="560" spans="1:9" s="11" customFormat="1" ht="12.75" customHeight="1">
      <c r="A560" s="52"/>
      <c r="B560" s="13" t="s">
        <v>1505</v>
      </c>
      <c r="C560" s="13"/>
      <c r="D560" s="13"/>
      <c r="E560" s="13"/>
      <c r="F560" s="13" t="s">
        <v>3811</v>
      </c>
      <c r="G560" s="17"/>
      <c r="H560" s="12" t="s">
        <v>2233</v>
      </c>
      <c r="I560" s="18">
        <f>IF(shinsei_BUILD_NAME_COMP="","",shinsei_BUILD_NAME_COMP)</f>
      </c>
    </row>
    <row r="561" spans="1:9" s="11" customFormat="1" ht="12.75" customHeight="1">
      <c r="A561" s="13"/>
      <c r="B561" s="52"/>
      <c r="C561" s="13"/>
      <c r="D561" s="13"/>
      <c r="E561" s="13"/>
      <c r="F561" s="13" t="s">
        <v>3409</v>
      </c>
      <c r="G561" s="12"/>
      <c r="H561" s="12"/>
      <c r="I561" s="12"/>
    </row>
    <row r="562" spans="1:7" s="11" customFormat="1" ht="12.75" customHeight="1">
      <c r="A562" s="52"/>
      <c r="B562" s="52"/>
      <c r="C562" s="52"/>
      <c r="D562" s="52"/>
      <c r="E562" s="52"/>
      <c r="F562" s="52" t="s">
        <v>3409</v>
      </c>
      <c r="G562" s="80"/>
    </row>
    <row r="563" spans="1:6" ht="12.75" customHeight="1">
      <c r="A563" s="59" t="s">
        <v>173</v>
      </c>
      <c r="B563" s="59"/>
      <c r="C563" s="59"/>
      <c r="D563" s="59"/>
      <c r="E563" s="59"/>
      <c r="F563" s="59" t="s">
        <v>3409</v>
      </c>
    </row>
    <row r="564" ht="12.75" customHeight="1">
      <c r="F564" s="49" t="s">
        <v>3409</v>
      </c>
    </row>
    <row r="565" spans="2:6" ht="12.75" customHeight="1">
      <c r="B565" s="49" t="s">
        <v>1142</v>
      </c>
      <c r="F565" s="49" t="s">
        <v>3409</v>
      </c>
    </row>
    <row r="566" ht="12.75" customHeight="1">
      <c r="F566" s="49" t="s">
        <v>3409</v>
      </c>
    </row>
    <row r="567" spans="3:9" ht="12.75" customHeight="1">
      <c r="C567" s="49" t="s">
        <v>1144</v>
      </c>
      <c r="F567" s="49" t="s">
        <v>3409</v>
      </c>
      <c r="H567" s="4" t="s">
        <v>1143</v>
      </c>
      <c r="I567" s="20" t="s">
        <v>2787</v>
      </c>
    </row>
    <row r="568" spans="3:9" ht="12.75" customHeight="1">
      <c r="C568" s="60" t="s">
        <v>1139</v>
      </c>
      <c r="F568" s="49" t="s">
        <v>3409</v>
      </c>
      <c r="H568" s="4" t="s">
        <v>1162</v>
      </c>
      <c r="I568" s="20" t="s">
        <v>2264</v>
      </c>
    </row>
    <row r="569" ht="12.75" customHeight="1">
      <c r="F569" s="49" t="s">
        <v>3409</v>
      </c>
    </row>
    <row r="570" spans="2:6" ht="12.75" customHeight="1">
      <c r="B570" s="49" t="s">
        <v>2085</v>
      </c>
      <c r="F570" s="49" t="s">
        <v>3409</v>
      </c>
    </row>
    <row r="571" ht="12.75" customHeight="1">
      <c r="F571" s="49" t="s">
        <v>3409</v>
      </c>
    </row>
    <row r="572" spans="3:9" ht="12.75" customHeight="1">
      <c r="C572" s="49" t="s">
        <v>740</v>
      </c>
      <c r="F572" s="318" t="s">
        <v>3409</v>
      </c>
      <c r="H572" s="4" t="s">
        <v>174</v>
      </c>
      <c r="I572" s="20" t="str">
        <f>IF(shinsei_ACCEPT_DATE="","",IF(LEFT(TEXT(shinsei_ACCEPT_DATE,"ee"),1)="0"," "&amp;TEXT(shinsei_ACCEPT_DATE,"e"),TEXT(shinsei_ACCEPT_DATE,"ee")))</f>
        <v>27</v>
      </c>
    </row>
    <row r="573" spans="3:9" ht="12.75" customHeight="1">
      <c r="C573" s="49" t="s">
        <v>741</v>
      </c>
      <c r="F573" s="318" t="s">
        <v>3409</v>
      </c>
      <c r="H573" s="4" t="s">
        <v>175</v>
      </c>
      <c r="I573" s="20" t="str">
        <f>IF(shinsei_ACCEPT_DATE="","",IF(LEFT(TEXT(shinsei_ACCEPT_DATE,"mm"),1)="0"," "&amp;TEXT(shinsei_ACCEPT_DATE,"m"),TEXT(shinsei_ACCEPT_DATE,"mm")))</f>
        <v> 9</v>
      </c>
    </row>
    <row r="574" spans="3:9" ht="12.75" customHeight="1">
      <c r="C574" s="49" t="s">
        <v>742</v>
      </c>
      <c r="F574" s="318" t="s">
        <v>3409</v>
      </c>
      <c r="H574" s="4" t="s">
        <v>176</v>
      </c>
      <c r="I574" s="20" t="str">
        <f>IF(shinsei_ACCEPT_DATE="","",IF(LEFT(TEXT(shinsei_ACCEPT_DATE,"dd"),1)="0"," "&amp;TEXT(shinsei_ACCEPT_DATE,"d"),TEXT(shinsei_ACCEPT_DATE,"dd")))</f>
        <v>25</v>
      </c>
    </row>
    <row r="575" ht="12.75" customHeight="1">
      <c r="F575" s="318" t="s">
        <v>3409</v>
      </c>
    </row>
    <row r="576" spans="3:9" ht="12.75" customHeight="1">
      <c r="C576" s="49" t="s">
        <v>177</v>
      </c>
      <c r="F576" s="318" t="s">
        <v>3409</v>
      </c>
      <c r="H576" s="4" t="s">
        <v>178</v>
      </c>
      <c r="I576" s="20" t="str">
        <f>IF(shinsei_HIKIUKE_DATE="","",IF(LEFT(TEXT(shinsei_HIKIUKE_DATE,"ee"),1)="0"," "&amp;TEXT(shinsei_HIKIUKE_DATE,"e"),TEXT(shinsei_HIKIUKE_DATE,"ee")))</f>
        <v>27</v>
      </c>
    </row>
    <row r="577" spans="3:9" ht="12.75" customHeight="1">
      <c r="C577" s="49" t="s">
        <v>179</v>
      </c>
      <c r="F577" s="318" t="s">
        <v>3409</v>
      </c>
      <c r="H577" s="4" t="s">
        <v>434</v>
      </c>
      <c r="I577" s="20" t="str">
        <f>IF(shinsei_HIKIUKE_DATE="","",IF(LEFT(TEXT(shinsei_HIKIUKE_DATE,"mm"),1)="0"," "&amp;TEXT(shinsei_HIKIUKE_DATE,"m"),TEXT(shinsei_HIKIUKE_DATE,"mm")))</f>
        <v> 9</v>
      </c>
    </row>
    <row r="578" spans="3:9" ht="12.75" customHeight="1">
      <c r="C578" s="49" t="s">
        <v>435</v>
      </c>
      <c r="F578" s="318" t="s">
        <v>3409</v>
      </c>
      <c r="H578" s="4" t="s">
        <v>436</v>
      </c>
      <c r="I578" s="20" t="str">
        <f>IF(shinsei_HIKIUKE_DATE="","",IF(LEFT(TEXT(shinsei_HIKIUKE_DATE,"dd"),1)="0"," "&amp;TEXT(shinsei_HIKIUKE_DATE,"d"),TEXT(shinsei_HIKIUKE_DATE,"dd")))</f>
        <v>25</v>
      </c>
    </row>
    <row r="579" ht="12.75" customHeight="1">
      <c r="F579" s="318" t="s">
        <v>3409</v>
      </c>
    </row>
    <row r="580" spans="3:9" ht="12.75" customHeight="1">
      <c r="C580" s="49" t="s">
        <v>1450</v>
      </c>
      <c r="F580" s="49" t="s">
        <v>3409</v>
      </c>
      <c r="H580" s="4" t="s">
        <v>1451</v>
      </c>
      <c r="I580" s="20">
        <f>IF(cst_shinsei__NOTIFY_LIMIT_DATE="","",IF(LEFT(TEXT(cst_shinsei__NOTIFY_LIMIT_DATE,"ee"),1)="0"," "&amp;TEXT(cst_shinsei__NOTIFY_LIMIT_DATE,"e"),TEXT(cst_shinsei__NOTIFY_LIMIT_DATE,"ee")))</f>
      </c>
    </row>
    <row r="581" spans="3:9" ht="12.75" customHeight="1">
      <c r="C581" s="49" t="s">
        <v>1452</v>
      </c>
      <c r="F581" s="49" t="s">
        <v>3409</v>
      </c>
      <c r="H581" s="55" t="s">
        <v>1453</v>
      </c>
      <c r="I581" s="20">
        <f>IF(cst_shinsei__NOTIFY_LIMIT_DATE="","",IF(LEFT(TEXT(cst_shinsei__NOTIFY_LIMIT_DATE,"mm"),1)="0"," "&amp;TEXT(cst_shinsei__NOTIFY_LIMIT_DATE,"m"),TEXT(cst_shinsei__NOTIFY_LIMIT_DATE,"mm")))</f>
      </c>
    </row>
    <row r="582" spans="3:9" ht="12.75" customHeight="1">
      <c r="C582" s="49" t="s">
        <v>1454</v>
      </c>
      <c r="F582" s="49" t="s">
        <v>3409</v>
      </c>
      <c r="H582" s="55" t="s">
        <v>1455</v>
      </c>
      <c r="I582" s="20">
        <f>IF(cst_shinsei__NOTIFY_LIMIT_DATE="","",IF(LEFT(TEXT(cst_shinsei__NOTIFY_LIMIT_DATE,"dd"),1)="0"," "&amp;TEXT(cst_shinsei__NOTIFY_LIMIT_DATE,"d"),TEXT(cst_shinsei__NOTIFY_LIMIT_DATE,"dd")))</f>
      </c>
    </row>
    <row r="583" ht="12.75" customHeight="1">
      <c r="F583" s="318" t="s">
        <v>3409</v>
      </c>
    </row>
    <row r="584" spans="2:9" ht="12.75" customHeight="1">
      <c r="B584" s="49" t="s">
        <v>1706</v>
      </c>
      <c r="F584" s="324" t="s">
        <v>3409</v>
      </c>
      <c r="G584" s="134"/>
      <c r="I584" s="134"/>
    </row>
    <row r="585" ht="12.75" customHeight="1">
      <c r="F585" s="318" t="s">
        <v>3409</v>
      </c>
    </row>
    <row r="586" spans="3:9" ht="12.75" customHeight="1">
      <c r="C586" s="49" t="s">
        <v>1707</v>
      </c>
      <c r="F586" s="318" t="s">
        <v>3409</v>
      </c>
      <c r="I586" s="135"/>
    </row>
    <row r="587" spans="3:9" ht="12.75" customHeight="1">
      <c r="C587" s="49" t="s">
        <v>1708</v>
      </c>
      <c r="F587" s="318" t="s">
        <v>3409</v>
      </c>
      <c r="I587" s="135"/>
    </row>
    <row r="588" spans="3:9" ht="12.75" customHeight="1">
      <c r="C588" s="49" t="s">
        <v>1709</v>
      </c>
      <c r="F588" s="318" t="s">
        <v>3409</v>
      </c>
      <c r="I588" s="135"/>
    </row>
    <row r="589" ht="12.75" customHeight="1">
      <c r="F589" s="318" t="s">
        <v>3409</v>
      </c>
    </row>
    <row r="590" spans="3:9" ht="12.75" customHeight="1">
      <c r="C590" s="49" t="s">
        <v>440</v>
      </c>
      <c r="F590" s="318" t="s">
        <v>3409</v>
      </c>
      <c r="H590" s="4" t="s">
        <v>441</v>
      </c>
      <c r="I590" s="20">
        <f>IF(kakaru_shinsei_ACCEPT_DATE="","",IF(LEFT(TEXT(kakaru_shinsei_ACCEPT_DATE,"ee"),1)="0"," "&amp;TEXT(kakaru_shinsei_ACCEPT_DATE,"e"),TEXT(kakaru_shinsei_ACCEPT_DATE,"ee")))</f>
      </c>
    </row>
    <row r="591" spans="3:9" ht="12.75" customHeight="1">
      <c r="C591" s="49" t="s">
        <v>1161</v>
      </c>
      <c r="F591" s="318" t="s">
        <v>3409</v>
      </c>
      <c r="H591" s="4" t="s">
        <v>2612</v>
      </c>
      <c r="I591" s="20">
        <f>IF(kakaru_shinsei_ACCEPT_DATE="","",IF(LEFT(TEXT(kakaru_shinsei_ACCEPT_DATE,"mm"),1)="0"," "&amp;TEXT(kakaru_shinsei_ACCEPT_DATE,"m"),TEXT(kakaru_shinsei_ACCEPT_DATE,"mm")))</f>
      </c>
    </row>
    <row r="592" spans="3:9" ht="12.75" customHeight="1">
      <c r="C592" s="49" t="s">
        <v>2613</v>
      </c>
      <c r="F592" s="318" t="s">
        <v>3409</v>
      </c>
      <c r="H592" s="4" t="s">
        <v>2614</v>
      </c>
      <c r="I592" s="20">
        <f>IF(kakaru_shinsei_ACCEPT_DATE="","",IF(LEFT(TEXT(kakaru_shinsei_ACCEPT_DATE,"dd"),1)="0"," "&amp;TEXT(kakaru_shinsei_ACCEPT_DATE,"d"),TEXT(kakaru_shinsei_ACCEPT_DATE,"dd")))</f>
      </c>
    </row>
    <row r="593" ht="12.75" customHeight="1">
      <c r="F593" s="318" t="s">
        <v>3409</v>
      </c>
    </row>
    <row r="594" spans="3:9" ht="12.75" customHeight="1">
      <c r="C594" s="49" t="s">
        <v>2615</v>
      </c>
      <c r="F594" s="318" t="s">
        <v>3409</v>
      </c>
      <c r="H594" s="4" t="s">
        <v>684</v>
      </c>
      <c r="I594" s="20">
        <f>IF(kakaru_shinsei_HIKIUKE_DATE="","",IF(LEFT(TEXT(kakaru_shinsei_HIKIUKE_DATE,"ee"),1)="0"," "&amp;TEXT(kakaru_shinsei_HIKIUKE_DATE,"e"),TEXT(kakaru_shinsei_HIKIUKE_DATE,"ee")))</f>
      </c>
    </row>
    <row r="595" spans="3:9" ht="12.75" customHeight="1">
      <c r="C595" s="49" t="s">
        <v>685</v>
      </c>
      <c r="F595" s="318" t="s">
        <v>3409</v>
      </c>
      <c r="H595" s="4" t="s">
        <v>3216</v>
      </c>
      <c r="I595" s="20">
        <f>IF(kakaru_shinsei_HIKIUKE_DATE="","",IF(LEFT(TEXT(kakaru_shinsei_HIKIUKE_DATE,"mm"),1)="0"," "&amp;TEXT(kakaru_shinsei_HIKIUKE_DATE,"m"),TEXT(kakaru_shinsei_HIKIUKE_DATE,"mm")))</f>
      </c>
    </row>
    <row r="596" spans="3:9" ht="12.75" customHeight="1">
      <c r="C596" s="49" t="s">
        <v>3217</v>
      </c>
      <c r="F596" s="318" t="s">
        <v>3409</v>
      </c>
      <c r="H596" s="4" t="s">
        <v>3218</v>
      </c>
      <c r="I596" s="20">
        <f>IF(kakaru_shinsei_HIKIUKE_DATE="","",IF(LEFT(TEXT(kakaru_shinsei_HIKIUKE_DATE,"dd"),1)="0"," "&amp;TEXT(kakaru_shinsei_HIKIUKE_DATE,"d"),TEXT(kakaru_shinsei_HIKIUKE_DATE,"dd")))</f>
      </c>
    </row>
    <row r="597" ht="12.75" customHeight="1">
      <c r="F597" s="318" t="s">
        <v>3409</v>
      </c>
    </row>
    <row r="598" spans="3:9" ht="12.75" customHeight="1">
      <c r="C598" s="49" t="s">
        <v>437</v>
      </c>
      <c r="F598" s="318" t="s">
        <v>3409</v>
      </c>
      <c r="H598" s="4" t="s">
        <v>1703</v>
      </c>
      <c r="I598" s="20">
        <f>IF(shinsei_KAKUNINZUMI_HOUKOKU_GYOSEI_DATE="","",IF(LEFT(TEXT(shinsei_KAKUNINZUMI_HOUKOKU_GYOSEI_DATE,"ee"),1)="0"," "&amp;TEXT(shinsei_KAKUNINZUMI_HOUKOKU_GYOSEI_DATE,"e"),TEXT(shinsei_KAKUNINZUMI_HOUKOKU_GYOSEI_DATE,"ee")))</f>
      </c>
    </row>
    <row r="599" spans="3:9" ht="12.75" customHeight="1">
      <c r="C599" s="49" t="s">
        <v>438</v>
      </c>
      <c r="F599" s="318" t="s">
        <v>3409</v>
      </c>
      <c r="H599" s="4" t="s">
        <v>1704</v>
      </c>
      <c r="I599" s="20">
        <f>IF(shinsei_KAKUNINZUMI_HOUKOKU_GYOSEI_DATE="","",IF(LEFT(TEXT(shinsei_KAKUNINZUMI_HOUKOKU_GYOSEI_DATE,"mm"),1)="0"," "&amp;TEXT(shinsei_KAKUNINZUMI_HOUKOKU_GYOSEI_DATE,"m"),TEXT(shinsei_KAKUNINZUMI_HOUKOKU_GYOSEI_DATE,"mm")))</f>
      </c>
    </row>
    <row r="600" spans="3:9" ht="12.75" customHeight="1">
      <c r="C600" s="49" t="s">
        <v>439</v>
      </c>
      <c r="F600" s="318" t="s">
        <v>3409</v>
      </c>
      <c r="H600" s="4" t="s">
        <v>1705</v>
      </c>
      <c r="I600" s="20">
        <f>IF(shinsei_KAKUNINZUMI_HOUKOKU_GYOSEI_DATE="","",IF(LEFT(TEXT(shinsei_KAKUNINZUMI_HOUKOKU_GYOSEI_DATE,"dd"),1)="0"," "&amp;TEXT(shinsei_KAKUNINZUMI_HOUKOKU_GYOSEI_DATE,"d"),TEXT(shinsei_KAKUNINZUMI_HOUKOKU_GYOSEI_DATE,"dd")))</f>
      </c>
    </row>
    <row r="601" ht="12.75" customHeight="1">
      <c r="F601" s="318" t="s">
        <v>3409</v>
      </c>
    </row>
    <row r="602" spans="1:9" s="11" customFormat="1" ht="12.75" customHeight="1">
      <c r="A602" s="13"/>
      <c r="B602" s="13"/>
      <c r="C602" s="13"/>
      <c r="D602" s="13"/>
      <c r="E602" s="13"/>
      <c r="F602" s="52" t="s">
        <v>3409</v>
      </c>
      <c r="I602" s="101"/>
    </row>
    <row r="603" spans="1:9" s="11" customFormat="1" ht="12.75" customHeight="1">
      <c r="A603" s="64" t="s">
        <v>2094</v>
      </c>
      <c r="B603" s="64"/>
      <c r="C603" s="51"/>
      <c r="D603" s="51"/>
      <c r="E603" s="51"/>
      <c r="F603" s="64" t="s">
        <v>3409</v>
      </c>
      <c r="I603" s="101"/>
    </row>
    <row r="604" spans="1:9" s="11" customFormat="1" ht="12.75" customHeight="1">
      <c r="A604" s="52"/>
      <c r="B604" s="52"/>
      <c r="C604" s="13"/>
      <c r="D604" s="13"/>
      <c r="E604" s="13"/>
      <c r="F604" s="52" t="s">
        <v>3409</v>
      </c>
      <c r="I604" s="101"/>
    </row>
    <row r="605" spans="2:10" ht="12.75" customHeight="1">
      <c r="B605" s="49" t="s">
        <v>301</v>
      </c>
      <c r="F605" s="49" t="s">
        <v>3409</v>
      </c>
      <c r="H605" s="4" t="s">
        <v>300</v>
      </c>
      <c r="I605" s="20" t="s">
        <v>299</v>
      </c>
      <c r="J605" s="61"/>
    </row>
    <row r="606" spans="1:9" s="11" customFormat="1" ht="12.75" customHeight="1">
      <c r="A606" s="52"/>
      <c r="B606" s="52"/>
      <c r="C606" s="13"/>
      <c r="D606" s="13"/>
      <c r="E606" s="13"/>
      <c r="F606" s="52" t="s">
        <v>3409</v>
      </c>
      <c r="I606" s="101"/>
    </row>
    <row r="607" spans="1:9" s="11" customFormat="1" ht="12.75" customHeight="1">
      <c r="A607" s="52"/>
      <c r="B607" s="13"/>
      <c r="C607" s="52"/>
      <c r="D607" s="52"/>
      <c r="E607" s="13"/>
      <c r="F607" s="52" t="s">
        <v>3409</v>
      </c>
      <c r="I607" s="101"/>
    </row>
    <row r="608" spans="1:7" s="11" customFormat="1" ht="12.75" customHeight="1">
      <c r="A608" s="151" t="s">
        <v>2083</v>
      </c>
      <c r="B608" s="151"/>
      <c r="C608" s="151"/>
      <c r="D608" s="151"/>
      <c r="E608" s="151"/>
      <c r="F608" s="151" t="s">
        <v>3409</v>
      </c>
      <c r="G608" s="12"/>
    </row>
    <row r="609" spans="1:7" s="11" customFormat="1" ht="12.75" customHeight="1">
      <c r="A609" s="13"/>
      <c r="B609" s="13"/>
      <c r="C609" s="13"/>
      <c r="D609" s="13"/>
      <c r="E609" s="13"/>
      <c r="F609" s="13" t="s">
        <v>3409</v>
      </c>
      <c r="G609" s="12"/>
    </row>
    <row r="610" spans="2:9" ht="12.75" customHeight="1">
      <c r="B610" s="49" t="s">
        <v>3105</v>
      </c>
      <c r="F610" s="318" t="s">
        <v>3812</v>
      </c>
      <c r="G610" s="96"/>
      <c r="H610" s="4" t="s">
        <v>1717</v>
      </c>
      <c r="I610" s="21">
        <f>IF(shinsei_PROVO_DATE="","",shinsei_PROVO_DATE)</f>
      </c>
    </row>
    <row r="611" ht="12.75" customHeight="1">
      <c r="F611" s="49" t="s">
        <v>3409</v>
      </c>
    </row>
    <row r="612" spans="2:9" ht="12.75" customHeight="1">
      <c r="B612" s="49" t="s">
        <v>739</v>
      </c>
      <c r="F612" s="49" t="s">
        <v>3813</v>
      </c>
      <c r="G612" s="96">
        <v>42272</v>
      </c>
      <c r="H612" s="4" t="s">
        <v>743</v>
      </c>
      <c r="I612" s="21">
        <f>IF(shinsei_ACCEPT_DATE="","",shinsei_ACCEPT_DATE)</f>
        <v>42272</v>
      </c>
    </row>
    <row r="613" ht="12.75" customHeight="1">
      <c r="F613" s="318" t="s">
        <v>3409</v>
      </c>
    </row>
    <row r="614" spans="2:9" ht="12.75" customHeight="1">
      <c r="B614" s="49" t="s">
        <v>3219</v>
      </c>
      <c r="F614" s="318" t="s">
        <v>3814</v>
      </c>
      <c r="G614" s="96">
        <v>42272</v>
      </c>
      <c r="H614" s="4" t="s">
        <v>744</v>
      </c>
      <c r="I614" s="21">
        <f>IF(shinsei_HIKIUKE_DATE="","",shinsei_HIKIUKE_DATE)</f>
        <v>42272</v>
      </c>
    </row>
    <row r="615" spans="6:9" ht="12.75" customHeight="1">
      <c r="F615" s="318" t="s">
        <v>3409</v>
      </c>
      <c r="H615" s="4" t="s">
        <v>1141</v>
      </c>
      <c r="I615" s="22">
        <f>IF(shinsei_HIKIUKE_DATE="",cst_DISP__date,shinsei_HIKIUKE_DATE)</f>
        <v>42272</v>
      </c>
    </row>
    <row r="616" spans="2:9" ht="12.75" customHeight="1">
      <c r="B616" s="49" t="s">
        <v>2086</v>
      </c>
      <c r="F616" s="318" t="s">
        <v>3409</v>
      </c>
      <c r="H616" s="12" t="s">
        <v>1145</v>
      </c>
      <c r="I616" s="45" t="str">
        <f>IF(shinsei_HIKIUKE_DATE="",cst_DISP__date,TEXT(shinsei_HIKIUKE_DATE,"ggg")&amp;" "&amp;cst_shinsei_HIKIUKE_DATE__ee&amp;" 年 "&amp;cst_shinsei_HIKIUKE_DATE__mm&amp;" 月 "&amp;cst_shinsei_HIKIUKE_DATE__dd&amp;" 日")</f>
        <v>平成 27 年  9 月 25 日</v>
      </c>
    </row>
    <row r="617" spans="1:7" s="11" customFormat="1" ht="12.75" customHeight="1">
      <c r="A617" s="13"/>
      <c r="B617" s="13"/>
      <c r="C617" s="13"/>
      <c r="D617" s="13"/>
      <c r="E617" s="13"/>
      <c r="F617" s="13" t="s">
        <v>3409</v>
      </c>
      <c r="G617" s="12"/>
    </row>
    <row r="618" spans="2:9" ht="12.75" customHeight="1">
      <c r="B618" s="49" t="s">
        <v>1252</v>
      </c>
      <c r="F618" s="318" t="s">
        <v>3815</v>
      </c>
      <c r="G618" s="96"/>
      <c r="H618" s="4" t="s">
        <v>1320</v>
      </c>
      <c r="I618" s="21">
        <f>IF(shinsei_HIKIUKE_TUUTI_DATE="","",shinsei_HIKIUKE_TUUTI_DATE)</f>
      </c>
    </row>
    <row r="619" spans="1:9" s="50" customFormat="1" ht="12.75" customHeight="1">
      <c r="A619" s="49"/>
      <c r="B619" s="49"/>
      <c r="C619" s="49"/>
      <c r="D619" s="49"/>
      <c r="E619" s="49"/>
      <c r="F619" s="60" t="s">
        <v>3409</v>
      </c>
      <c r="H619" s="12" t="s">
        <v>2855</v>
      </c>
      <c r="I619" s="45" t="str">
        <f>IF(shinsei_HIKIUKE_TUUTI_DATE="",cst_DISP__date,(shinsei_HIKIUKE_TUUTI_DATE))</f>
        <v>平成    年    月    日</v>
      </c>
    </row>
    <row r="620" ht="12.75" customHeight="1">
      <c r="F620" s="318" t="s">
        <v>3409</v>
      </c>
    </row>
    <row r="621" spans="2:9" ht="12.75" customHeight="1">
      <c r="B621" s="49" t="s">
        <v>2095</v>
      </c>
      <c r="F621" s="13" t="s">
        <v>3816</v>
      </c>
      <c r="G621" s="8" t="s">
        <v>3817</v>
      </c>
      <c r="H621" s="4" t="s">
        <v>2097</v>
      </c>
      <c r="I621" s="46" t="str">
        <f>IF(shinsei_UKETUKE_NO="","",shinsei_UKETUKE_NO)</f>
        <v>H27確認建築近確0002130</v>
      </c>
    </row>
    <row r="622" spans="6:9" ht="12.75" customHeight="1">
      <c r="F622" s="318" t="s">
        <v>3409</v>
      </c>
      <c r="H622" s="4" t="s">
        <v>2098</v>
      </c>
      <c r="I622" s="20" t="str">
        <f>IF(shinsei_UKETUKE_NO="","","第"&amp;shinsei_UKETUKE_NO&amp;"号")</f>
        <v>第H27確認建築近確0002130号</v>
      </c>
    </row>
    <row r="623" spans="1:9" s="61" customFormat="1" ht="12.75" customHeight="1">
      <c r="A623" s="60"/>
      <c r="B623" s="60"/>
      <c r="C623" s="60"/>
      <c r="D623" s="60"/>
      <c r="E623" s="60"/>
      <c r="F623" s="3" t="s">
        <v>3818</v>
      </c>
      <c r="G623" s="2">
        <v>2130</v>
      </c>
      <c r="H623" s="61" t="s">
        <v>3402</v>
      </c>
      <c r="I623" s="1">
        <f>IF(shinsei_NUMBER="","",shinsei_NUMBER)</f>
        <v>2130</v>
      </c>
    </row>
    <row r="624" spans="1:7" s="11" customFormat="1" ht="12.75" customHeight="1">
      <c r="A624" s="13"/>
      <c r="B624" s="13"/>
      <c r="C624" s="13"/>
      <c r="D624" s="13"/>
      <c r="E624" s="13"/>
      <c r="F624" s="13" t="s">
        <v>3409</v>
      </c>
      <c r="G624" s="12"/>
    </row>
    <row r="625" spans="1:7" s="11" customFormat="1" ht="12.75" customHeight="1">
      <c r="A625" s="151" t="s">
        <v>2081</v>
      </c>
      <c r="B625" s="151"/>
      <c r="C625" s="151"/>
      <c r="D625" s="151"/>
      <c r="E625" s="151"/>
      <c r="F625" s="151" t="s">
        <v>3409</v>
      </c>
      <c r="G625" s="12"/>
    </row>
    <row r="626" spans="1:7" s="11" customFormat="1" ht="12.75" customHeight="1">
      <c r="A626" s="13"/>
      <c r="B626" s="13"/>
      <c r="C626" s="13"/>
      <c r="D626" s="13"/>
      <c r="E626" s="13"/>
      <c r="F626" s="13" t="s">
        <v>3409</v>
      </c>
      <c r="G626" s="12"/>
    </row>
    <row r="627" spans="2:9" ht="12.75" customHeight="1">
      <c r="B627" s="49" t="s">
        <v>1253</v>
      </c>
      <c r="F627" s="318" t="s">
        <v>3819</v>
      </c>
      <c r="G627" s="96"/>
      <c r="H627" s="4" t="s">
        <v>1321</v>
      </c>
      <c r="I627" s="21">
        <f>IF(shinsei_ISSUE_DATE="","",shinsei_ISSUE_DATE)</f>
      </c>
    </row>
    <row r="628" spans="6:9" ht="12.75" customHeight="1">
      <c r="F628" s="318" t="s">
        <v>3409</v>
      </c>
      <c r="H628" s="4" t="s">
        <v>303</v>
      </c>
      <c r="I628" s="22" t="str">
        <f>IF(shinsei_ISSUE_DATE="",cst_DISP__date,shinsei_ISSUE_DATE)</f>
        <v>平成    年    月    日</v>
      </c>
    </row>
    <row r="629" spans="1:9" s="11" customFormat="1" ht="12.75" customHeight="1">
      <c r="A629" s="52"/>
      <c r="B629" s="52"/>
      <c r="C629" s="13"/>
      <c r="D629" s="52"/>
      <c r="E629" s="52"/>
      <c r="F629" s="52" t="s">
        <v>3409</v>
      </c>
      <c r="I629" s="101"/>
    </row>
    <row r="630" spans="1:9" s="11" customFormat="1" ht="12.75" customHeight="1">
      <c r="A630" s="13"/>
      <c r="B630" s="13" t="s">
        <v>2096</v>
      </c>
      <c r="C630" s="13"/>
      <c r="D630" s="13"/>
      <c r="E630" s="13"/>
      <c r="F630" s="13" t="s">
        <v>3018</v>
      </c>
      <c r="G630" s="8" t="s">
        <v>3409</v>
      </c>
      <c r="H630" s="11" t="s">
        <v>1235</v>
      </c>
      <c r="I630" s="58">
        <f>IF(shinsei_ISSUE_NO="","",shinsei_ISSUE_NO)</f>
      </c>
    </row>
    <row r="631" spans="1:10" s="11" customFormat="1" ht="12.75" customHeight="1">
      <c r="A631" s="13"/>
      <c r="B631" s="13"/>
      <c r="C631" s="52"/>
      <c r="D631" s="52"/>
      <c r="E631" s="13"/>
      <c r="F631" s="13" t="s">
        <v>3409</v>
      </c>
      <c r="G631" s="12"/>
      <c r="H631" s="11" t="s">
        <v>302</v>
      </c>
      <c r="I631" s="56" t="str">
        <f>IF(shinsei_ISSUE_NO="",cst_DISP__sign,"第 "&amp;shinsei_ISSUE_NO&amp;" 号")</f>
        <v>第          号</v>
      </c>
      <c r="J631" s="11" t="s">
        <v>3019</v>
      </c>
    </row>
    <row r="632" spans="1:7" s="11" customFormat="1" ht="12.75" customHeight="1">
      <c r="A632" s="13"/>
      <c r="B632" s="13"/>
      <c r="C632" s="13"/>
      <c r="D632" s="13"/>
      <c r="E632" s="13"/>
      <c r="F632" s="13" t="s">
        <v>3409</v>
      </c>
      <c r="G632" s="12"/>
    </row>
    <row r="633" spans="1:9" s="11" customFormat="1" ht="12.75" customHeight="1">
      <c r="A633" s="13"/>
      <c r="B633" s="13" t="s">
        <v>3020</v>
      </c>
      <c r="C633" s="13"/>
      <c r="D633" s="13"/>
      <c r="E633" s="13"/>
      <c r="F633" s="13" t="s">
        <v>3021</v>
      </c>
      <c r="G633" s="14" t="s">
        <v>3409</v>
      </c>
      <c r="H633" s="12" t="s">
        <v>1236</v>
      </c>
      <c r="I633" s="18">
        <f>IF(shinsei_ISSUE_KOUFU_NAME="","",shinsei_ISSUE_KOUFU_NAME)</f>
      </c>
    </row>
    <row r="634" spans="1:9" s="11" customFormat="1" ht="12.75" customHeight="1">
      <c r="A634" s="13"/>
      <c r="B634" s="13"/>
      <c r="C634" s="13"/>
      <c r="D634" s="13"/>
      <c r="E634" s="13"/>
      <c r="F634" s="13" t="s">
        <v>3409</v>
      </c>
      <c r="G634" s="12"/>
      <c r="H634" s="12" t="s">
        <v>737</v>
      </c>
      <c r="I634" s="255">
        <f>IF(ISERROR(SEARCH("代表",shinsei_ISSUE_KOUFU_NAME)),IF(ISERROR(SEARCH("建築主事",shinsei_ISSUE_KOUFU_NAME)),IF(ISERROR(SEARCH("理事長",shinsei_ISSUE_KOUFU_NAME)),IF(ISERROR(SEARCH("会長",shinsei_ISSUE_KOUFU_NAME)),cst_shinsei_ISSUE_KOUFU_NAME,SUBSTITUTE(shinsei_ISSUE_KOUFU_NAME,"会長",CHAR(10)&amp;"会長")),SUBSTITUTE(shinsei_ISSUE_KOUFU_NAME,"理事長",CHAR(10)&amp;"理事長")),SUBSTITUTE(shinsei_ISSUE_KOUFU_NAME,"建築主事",CHAR(10)&amp;"建築主事")),SUBSTITUTE(shinsei_ISSUE_KOUFU_NAME,"代表",CHAR(10)&amp;"代表"))</f>
      </c>
    </row>
    <row r="635" spans="1:8" s="11" customFormat="1" ht="12.75" customHeight="1">
      <c r="A635" s="13"/>
      <c r="B635" s="13" t="s">
        <v>1724</v>
      </c>
      <c r="C635" s="13"/>
      <c r="D635" s="13"/>
      <c r="E635" s="13"/>
      <c r="F635" s="13" t="s">
        <v>3409</v>
      </c>
      <c r="G635" s="12"/>
      <c r="H635" s="94"/>
    </row>
    <row r="636" spans="1:9" s="11" customFormat="1" ht="12.75" customHeight="1">
      <c r="A636" s="13"/>
      <c r="B636" s="13"/>
      <c r="C636" s="13" t="s">
        <v>2082</v>
      </c>
      <c r="D636" s="13"/>
      <c r="E636" s="13"/>
      <c r="F636" s="13" t="s">
        <v>879</v>
      </c>
      <c r="G636" s="17"/>
      <c r="H636" s="12" t="s">
        <v>1239</v>
      </c>
      <c r="I636" s="18">
        <f>IF(shinsei_KENSA_RESULT="","",shinsei_KENSA_RESULT)</f>
      </c>
    </row>
    <row r="637" spans="1:9" s="11" customFormat="1" ht="12.75" customHeight="1">
      <c r="A637" s="13"/>
      <c r="B637" s="13"/>
      <c r="C637" s="13" t="s">
        <v>2654</v>
      </c>
      <c r="D637" s="13"/>
      <c r="E637" s="13"/>
      <c r="F637" s="13" t="s">
        <v>3820</v>
      </c>
      <c r="G637" s="17"/>
      <c r="H637" s="12" t="s">
        <v>192</v>
      </c>
      <c r="I637" s="85">
        <f>IF(shinsei_intermediate_KENSA_KEKKA="","",shinsei_intermediate_KENSA_KEKKA)</f>
      </c>
    </row>
    <row r="638" spans="1:9" s="11" customFormat="1" ht="12.75" customHeight="1">
      <c r="A638" s="13"/>
      <c r="B638" s="13"/>
      <c r="C638" s="13" t="s">
        <v>181</v>
      </c>
      <c r="D638" s="13"/>
      <c r="E638" s="13"/>
      <c r="F638" s="13" t="s">
        <v>3821</v>
      </c>
      <c r="G638" s="17"/>
      <c r="H638" s="12" t="s">
        <v>193</v>
      </c>
      <c r="I638" s="85">
        <f>IF(shinsei_KAN_KENSA_KEKKA="","",shinsei_KAN_KENSA_KEKKA)</f>
      </c>
    </row>
    <row r="639" spans="1:9" s="11" customFormat="1" ht="12.75" customHeight="1">
      <c r="A639" s="13"/>
      <c r="B639" s="13"/>
      <c r="C639" s="13" t="s">
        <v>183</v>
      </c>
      <c r="D639" s="13"/>
      <c r="E639" s="13"/>
      <c r="F639" s="13" t="s">
        <v>3409</v>
      </c>
      <c r="G639" s="12"/>
      <c r="H639" s="12" t="s">
        <v>194</v>
      </c>
      <c r="I639" s="56">
        <f>IF(shinsei_INSPECTION_TYPE="","",IF(OR(shinsei_INSPECTION_TYPE="確認",shinsei_INSPECTION_TYPE="計画変更"),cst_shinsei_KENSA_RESULT,IF(shinsei_INSPECTION_TYPE="中間検査",cst_shinsei_intermediate_KENSA_KEKKA,IF(shinsei_INSPECTION_TYPE="完了検査",cst_shinsei_KAN_KENSA_KEKKA))))</f>
      </c>
    </row>
    <row r="640" spans="1:7" s="11" customFormat="1" ht="12.75" customHeight="1">
      <c r="A640" s="13"/>
      <c r="B640" s="13"/>
      <c r="C640" s="13"/>
      <c r="D640" s="13"/>
      <c r="E640" s="13"/>
      <c r="F640" s="13" t="s">
        <v>3409</v>
      </c>
      <c r="G640" s="12"/>
    </row>
    <row r="641" spans="1:8" s="11" customFormat="1" ht="12.75" customHeight="1">
      <c r="A641" s="13"/>
      <c r="B641" s="13" t="s">
        <v>2265</v>
      </c>
      <c r="C641" s="13"/>
      <c r="D641" s="13"/>
      <c r="E641" s="13"/>
      <c r="F641" s="13" t="s">
        <v>3409</v>
      </c>
      <c r="G641" s="12"/>
      <c r="H641" s="12"/>
    </row>
    <row r="642" spans="1:9" s="11" customFormat="1" ht="12.75" customHeight="1">
      <c r="A642" s="13"/>
      <c r="B642" s="13"/>
      <c r="C642" s="13" t="s">
        <v>2082</v>
      </c>
      <c r="D642" s="13"/>
      <c r="E642" s="13"/>
      <c r="F642" s="13" t="s">
        <v>877</v>
      </c>
      <c r="G642" s="14" t="s">
        <v>3409</v>
      </c>
      <c r="H642" s="12" t="s">
        <v>1237</v>
      </c>
      <c r="I642" s="18">
        <f>IF(shinsei_KAKUNINZUMI_KENSAIN="","",shinsei_KAKUNINZUMI_KENSAIN)</f>
      </c>
    </row>
    <row r="643" spans="1:9" s="11" customFormat="1" ht="12.75" customHeight="1">
      <c r="A643" s="13"/>
      <c r="B643" s="52"/>
      <c r="C643" s="13" t="s">
        <v>2654</v>
      </c>
      <c r="D643" s="13"/>
      <c r="E643" s="13"/>
      <c r="F643" s="13" t="s">
        <v>180</v>
      </c>
      <c r="G643" s="17"/>
      <c r="H643" s="12" t="s">
        <v>69</v>
      </c>
      <c r="I643" s="18">
        <f>IF(shinsei_intermediate_GOUKAKU_KENSAIN="","",shinsei_intermediate_GOUKAKU_KENSAIN)</f>
      </c>
    </row>
    <row r="644" spans="1:9" s="11" customFormat="1" ht="12.75" customHeight="1">
      <c r="A644" s="13"/>
      <c r="B644" s="52"/>
      <c r="C644" s="13" t="s">
        <v>181</v>
      </c>
      <c r="D644" s="13"/>
      <c r="E644" s="13"/>
      <c r="F644" s="13" t="s">
        <v>182</v>
      </c>
      <c r="G644" s="17"/>
      <c r="H644" s="12" t="s">
        <v>70</v>
      </c>
      <c r="I644" s="58">
        <f>IF(shinsei_KAN_ZUMI_KENSAIN="","",shinsei_KAN_ZUMI_KENSAIN)</f>
      </c>
    </row>
    <row r="645" spans="1:10" s="11" customFormat="1" ht="12.75" customHeight="1">
      <c r="A645" s="13"/>
      <c r="B645" s="52"/>
      <c r="C645" s="13" t="s">
        <v>183</v>
      </c>
      <c r="D645" s="13"/>
      <c r="E645" s="13"/>
      <c r="F645" s="13" t="s">
        <v>3409</v>
      </c>
      <c r="G645" s="12"/>
      <c r="H645" s="12" t="s">
        <v>71</v>
      </c>
      <c r="I645" s="56">
        <f>IF(shinsei_INSPECTION_TYPE="","",IF(cst_shinsei_INSPECTION_TYPE_class3="確認申請",cst_shinsei_KAKUNINZUMI_KENSAIN,IF(shinsei_INSPECTION_TYPE="中間検査",cst_shinsei_intermediate_GOUKAKU_KENSAIN,IF(shinsei_INSPECTION_TYPE="完了検査",cst_shinsei_KAN_ZUMI_KENSAIN))))</f>
      </c>
      <c r="J645" s="11" t="s">
        <v>184</v>
      </c>
    </row>
    <row r="646" spans="1:7" s="11" customFormat="1" ht="12.75" customHeight="1">
      <c r="A646" s="13"/>
      <c r="B646" s="13"/>
      <c r="C646" s="13"/>
      <c r="D646" s="13"/>
      <c r="E646" s="13"/>
      <c r="F646" s="13" t="s">
        <v>3409</v>
      </c>
      <c r="G646" s="12"/>
    </row>
    <row r="647" spans="1:9" s="11" customFormat="1" ht="12.75" customHeight="1">
      <c r="A647" s="52"/>
      <c r="B647" s="13" t="s">
        <v>185</v>
      </c>
      <c r="C647" s="13"/>
      <c r="D647" s="13"/>
      <c r="E647" s="13"/>
      <c r="F647" s="13" t="s">
        <v>3409</v>
      </c>
      <c r="G647" s="12"/>
      <c r="H647" s="12"/>
      <c r="I647" s="12"/>
    </row>
    <row r="648" spans="1:9" s="11" customFormat="1" ht="12.75" customHeight="1">
      <c r="A648" s="52"/>
      <c r="B648" s="13"/>
      <c r="C648" s="13" t="s">
        <v>2654</v>
      </c>
      <c r="D648" s="13"/>
      <c r="E648" s="13"/>
      <c r="F648" s="13" t="s">
        <v>186</v>
      </c>
      <c r="G648" s="96"/>
      <c r="H648" s="12" t="s">
        <v>72</v>
      </c>
      <c r="I648" s="85">
        <f>IF(shinsei_intermediate_KENSA_DATE="","",shinsei_intermediate_KENSA_DATE)</f>
      </c>
    </row>
    <row r="649" spans="1:9" s="11" customFormat="1" ht="12.75" customHeight="1">
      <c r="A649" s="52"/>
      <c r="B649" s="13"/>
      <c r="C649" s="13" t="s">
        <v>181</v>
      </c>
      <c r="D649" s="13"/>
      <c r="E649" s="13"/>
      <c r="F649" s="13" t="s">
        <v>187</v>
      </c>
      <c r="G649" s="96"/>
      <c r="H649" s="12" t="s">
        <v>1568</v>
      </c>
      <c r="I649" s="85">
        <f>IF(shinsei_KAN_HOUKOKU_KENSA_DATE="","",shinsei_KAN_HOUKOKU_KENSA_DATE)</f>
      </c>
    </row>
    <row r="650" spans="1:10" s="11" customFormat="1" ht="12.75" customHeight="1">
      <c r="A650" s="13"/>
      <c r="B650" s="13"/>
      <c r="C650" s="13" t="s">
        <v>188</v>
      </c>
      <c r="D650" s="13"/>
      <c r="E650" s="13"/>
      <c r="F650" s="52" t="s">
        <v>3409</v>
      </c>
      <c r="H650" s="12" t="s">
        <v>1569</v>
      </c>
      <c r="I650" s="56">
        <f>IF(shinsei_INSPECTION_TYPE="","",IF(cst_shinsei_INSPECTION_TYPE_class3="確認申請","",IF(shinsei_INSPECTION_TYPE="中間検査",cst_shinsei_intermediate_KENSA_DATE,IF(shinsei_INSPECTION_TYPE="完了検査",cst_shinsei_KAN_HOUKOKU_KENSA_DATE))))</f>
      </c>
      <c r="J650" s="11" t="s">
        <v>184</v>
      </c>
    </row>
    <row r="651" spans="1:10" s="11" customFormat="1" ht="12.75" customHeight="1">
      <c r="A651" s="13"/>
      <c r="B651" s="13"/>
      <c r="C651" s="13"/>
      <c r="D651" s="13"/>
      <c r="E651" s="13"/>
      <c r="F651" s="13" t="s">
        <v>3409</v>
      </c>
      <c r="G651" s="12"/>
      <c r="H651" s="12" t="s">
        <v>1570</v>
      </c>
      <c r="I651" s="56" t="str">
        <f>IF(cst_shinsei_KENSA_DATE="",cst_DISP__date,cst_shinsei_KENSA_DATE)</f>
        <v>平成    年    月    日</v>
      </c>
      <c r="J651" s="11" t="s">
        <v>2651</v>
      </c>
    </row>
    <row r="652" spans="1:9" s="11" customFormat="1" ht="12.75" customHeight="1">
      <c r="A652" s="13"/>
      <c r="B652" s="13" t="s">
        <v>189</v>
      </c>
      <c r="C652" s="13"/>
      <c r="D652" s="13"/>
      <c r="E652" s="13"/>
      <c r="F652" s="13" t="s">
        <v>3409</v>
      </c>
      <c r="G652" s="12"/>
      <c r="H652" s="12"/>
      <c r="I652" s="12"/>
    </row>
    <row r="653" spans="1:9" s="11" customFormat="1" ht="12.75" customHeight="1">
      <c r="A653" s="13"/>
      <c r="B653" s="52"/>
      <c r="C653" s="13" t="s">
        <v>2654</v>
      </c>
      <c r="D653" s="13"/>
      <c r="E653" s="13"/>
      <c r="F653" s="13" t="s">
        <v>190</v>
      </c>
      <c r="G653" s="17"/>
      <c r="H653" s="12" t="s">
        <v>1571</v>
      </c>
      <c r="I653" s="18">
        <f>IF(shinsei_Intermediate_GOUKAKU_TOKKI_JIKOU="","",shinsei_Intermediate_GOUKAKU_TOKKI_JIKOU)</f>
      </c>
    </row>
    <row r="654" spans="1:9" s="11" customFormat="1" ht="12.75" customHeight="1">
      <c r="A654" s="13"/>
      <c r="B654" s="13"/>
      <c r="C654" s="13" t="s">
        <v>181</v>
      </c>
      <c r="D654" s="13"/>
      <c r="E654" s="13"/>
      <c r="F654" s="13" t="s">
        <v>191</v>
      </c>
      <c r="G654" s="17"/>
      <c r="H654" s="12" t="s">
        <v>1572</v>
      </c>
      <c r="I654" s="18">
        <f>IF(shinsei_KAN_ZUMI_TOKKI_JIKOU="","",shinsei_KAN_ZUMI_TOKKI_JIKOU)</f>
      </c>
    </row>
    <row r="655" spans="1:9" s="11" customFormat="1" ht="12.75" customHeight="1">
      <c r="A655" s="13"/>
      <c r="B655" s="13"/>
      <c r="C655" s="13" t="s">
        <v>188</v>
      </c>
      <c r="D655" s="13"/>
      <c r="E655" s="13"/>
      <c r="F655" s="13" t="s">
        <v>3409</v>
      </c>
      <c r="G655" s="12"/>
      <c r="H655" s="12" t="s">
        <v>1573</v>
      </c>
      <c r="I655" s="56">
        <f>IF(shinsei_INSPECTION_TYPE="","",IF(cst_shinsei_INSPECTION_TYPE_class3="確認申請","",IF(shinsei_INSPECTION_TYPE="中間検査",cst_shinsei_Intermediate_GOUKAKU_TOKKI_JIKOU,IF(shinsei_INSPECTION_TYPE="完了検査",cst_shinsei_KAN_ZUMI_TOKKI_JIKOU))))</f>
      </c>
    </row>
    <row r="656" spans="1:7" s="11" customFormat="1" ht="12.75" customHeight="1">
      <c r="A656" s="13"/>
      <c r="B656" s="13"/>
      <c r="C656" s="13"/>
      <c r="D656" s="13"/>
      <c r="E656" s="13"/>
      <c r="F656" s="13" t="s">
        <v>3409</v>
      </c>
      <c r="G656" s="12"/>
    </row>
    <row r="657" spans="1:10" s="11" customFormat="1" ht="12.75" customHeight="1">
      <c r="A657" s="13"/>
      <c r="B657" s="13" t="s">
        <v>2088</v>
      </c>
      <c r="C657" s="13"/>
      <c r="D657" s="13"/>
      <c r="E657" s="13"/>
      <c r="F657" s="13" t="s">
        <v>878</v>
      </c>
      <c r="G657" s="96"/>
      <c r="H657" s="12" t="s">
        <v>1238</v>
      </c>
      <c r="I657" s="21">
        <f>IF(shinsei_HOUKOKU_DATE="","",shinsei_HOUKOKU_DATE)</f>
      </c>
      <c r="J657" s="11" t="s">
        <v>2468</v>
      </c>
    </row>
    <row r="658" spans="1:7" s="11" customFormat="1" ht="12.75" customHeight="1">
      <c r="A658" s="13"/>
      <c r="B658" s="13"/>
      <c r="C658" s="13"/>
      <c r="D658" s="13"/>
      <c r="E658" s="13"/>
      <c r="F658" s="13" t="s">
        <v>3409</v>
      </c>
      <c r="G658" s="12"/>
    </row>
    <row r="659" spans="1:7" s="11" customFormat="1" ht="12.75" customHeight="1">
      <c r="A659" s="52"/>
      <c r="B659" s="71" t="s">
        <v>195</v>
      </c>
      <c r="C659" s="71"/>
      <c r="D659" s="71"/>
      <c r="E659" s="71"/>
      <c r="F659" s="13" t="s">
        <v>3409</v>
      </c>
      <c r="G659" s="12"/>
    </row>
    <row r="660" spans="1:7" s="11" customFormat="1" ht="12.75" customHeight="1">
      <c r="A660" s="13"/>
      <c r="B660" s="13"/>
      <c r="C660" s="13"/>
      <c r="D660" s="13"/>
      <c r="E660" s="13"/>
      <c r="F660" s="13" t="s">
        <v>3409</v>
      </c>
      <c r="G660" s="12"/>
    </row>
    <row r="661" spans="1:9" s="11" customFormat="1" ht="12.75" customHeight="1">
      <c r="A661" s="52"/>
      <c r="B661" s="13"/>
      <c r="C661" s="13" t="s">
        <v>196</v>
      </c>
      <c r="D661" s="13"/>
      <c r="E661" s="13"/>
      <c r="F661" s="318" t="s">
        <v>3822</v>
      </c>
      <c r="G661" s="96"/>
      <c r="H661" s="4" t="s">
        <v>746</v>
      </c>
      <c r="I661" s="21">
        <f>IF(kakaru_shinsei_ACCEPT_DATE="","",kakaru_shinsei_ACCEPT_DATE)</f>
      </c>
    </row>
    <row r="662" spans="1:9" s="11" customFormat="1" ht="12.75" customHeight="1">
      <c r="A662" s="52"/>
      <c r="B662" s="13"/>
      <c r="C662" s="13" t="s">
        <v>3219</v>
      </c>
      <c r="D662" s="13"/>
      <c r="E662" s="13"/>
      <c r="F662" s="318" t="s">
        <v>3823</v>
      </c>
      <c r="G662" s="96"/>
      <c r="H662" s="4" t="s">
        <v>1702</v>
      </c>
      <c r="I662" s="21">
        <f>IF(kakaru_shinsei_HIKIUKE_DATE="","",kakaru_shinsei_HIKIUKE_DATE)</f>
      </c>
    </row>
    <row r="663" spans="1:9" s="11" customFormat="1" ht="12.75" customHeight="1">
      <c r="A663" s="52"/>
      <c r="B663" s="13"/>
      <c r="C663" s="13" t="s">
        <v>2095</v>
      </c>
      <c r="D663" s="13"/>
      <c r="E663" s="13"/>
      <c r="F663" s="13" t="s">
        <v>3824</v>
      </c>
      <c r="G663" s="14" t="s">
        <v>3409</v>
      </c>
      <c r="H663" s="12" t="s">
        <v>528</v>
      </c>
      <c r="I663" s="18">
        <f>IF(kakaru_shinsei_UKETUKE_NO="","",kakaru_shinsei_UKETUKE_NO)</f>
      </c>
    </row>
    <row r="664" spans="1:9" s="11" customFormat="1" ht="12.75" customHeight="1">
      <c r="A664" s="52"/>
      <c r="B664" s="13"/>
      <c r="C664" s="13" t="s">
        <v>529</v>
      </c>
      <c r="D664" s="13"/>
      <c r="E664" s="13"/>
      <c r="F664" s="13" t="s">
        <v>530</v>
      </c>
      <c r="G664" s="14" t="s">
        <v>3409</v>
      </c>
      <c r="H664" s="12" t="s">
        <v>531</v>
      </c>
      <c r="I664" s="18">
        <f>IF(shinsei_KAKU_SUMI_NO="","",shinsei_KAKU_SUMI_NO)</f>
      </c>
    </row>
    <row r="665" spans="1:10" s="11" customFormat="1" ht="12.75" customHeight="1">
      <c r="A665" s="52"/>
      <c r="B665" s="13"/>
      <c r="C665" s="13"/>
      <c r="D665" s="13"/>
      <c r="E665" s="13"/>
      <c r="F665" s="52" t="s">
        <v>3409</v>
      </c>
      <c r="H665" s="12" t="s">
        <v>2091</v>
      </c>
      <c r="I665" s="56" t="str">
        <f>IF(shinsei_KAKU_SUMI_NO="",cst_DISP__sign,"第 "&amp;shinsei_KAKU_SUMI_NO&amp;" 号")</f>
        <v>第          号</v>
      </c>
      <c r="J665" s="11" t="s">
        <v>3019</v>
      </c>
    </row>
    <row r="666" spans="1:9" s="11" customFormat="1" ht="12.75" customHeight="1">
      <c r="A666" s="52"/>
      <c r="B666" s="13"/>
      <c r="C666" s="13" t="s">
        <v>1574</v>
      </c>
      <c r="D666" s="13"/>
      <c r="E666" s="13"/>
      <c r="F666" s="13" t="s">
        <v>532</v>
      </c>
      <c r="G666" s="96"/>
      <c r="H666" s="11" t="s">
        <v>1575</v>
      </c>
      <c r="I666" s="90">
        <f>IF(shinsei_KAKU_SUMI_KOUFU_DATE="","",shinsei_KAKU_SUMI_KOUFU_DATE)</f>
      </c>
    </row>
    <row r="667" spans="1:10" s="11" customFormat="1" ht="12.75" customHeight="1">
      <c r="A667" s="52"/>
      <c r="B667" s="60"/>
      <c r="C667" s="13"/>
      <c r="D667" s="13"/>
      <c r="E667" s="13"/>
      <c r="F667" s="52" t="s">
        <v>3409</v>
      </c>
      <c r="H667" s="12" t="s">
        <v>2092</v>
      </c>
      <c r="I667" s="45" t="str">
        <f>IF(shinsei_KAKU_SUMI_KOUFU_DATE="",cst_DISP__date,shinsei_KAKU_SUMI_KOUFU_DATE)</f>
        <v>平成    年    月    日</v>
      </c>
      <c r="J667" s="11" t="s">
        <v>2651</v>
      </c>
    </row>
    <row r="668" spans="1:9" s="11" customFormat="1" ht="12.75" customHeight="1">
      <c r="A668" s="52"/>
      <c r="B668" s="13"/>
      <c r="C668" s="13" t="s">
        <v>1576</v>
      </c>
      <c r="D668" s="13"/>
      <c r="E668" s="13"/>
      <c r="F668" s="13" t="s">
        <v>533</v>
      </c>
      <c r="G668" s="14" t="s">
        <v>3409</v>
      </c>
      <c r="H668" s="12" t="s">
        <v>1577</v>
      </c>
      <c r="I668" s="18">
        <f>IF(shinsei_KAKU_SUMI_KOUFU_NAME="","",shinsei_KAKU_SUMI_KOUFU_NAME)</f>
      </c>
    </row>
    <row r="669" spans="1:10" s="11" customFormat="1" ht="12.75" customHeight="1">
      <c r="A669" s="52"/>
      <c r="B669" s="13"/>
      <c r="C669" s="13"/>
      <c r="D669" s="13"/>
      <c r="E669" s="13"/>
      <c r="F669" s="13" t="s">
        <v>3409</v>
      </c>
      <c r="H669" s="12" t="s">
        <v>2093</v>
      </c>
      <c r="I669" s="95">
        <f>IF(ISERROR(SEARCH("代表",shinsei_KAKU_SUMI_KOUFU_NAME)),IF(ISERROR(SEARCH("建築主事",shinsei_KAKU_SUMI_KOUFU_NAME)),IF(ISERROR(SEARCH("理事長",shinsei_KAKU_SUMI_KOUFU_NAME)),IF(ISERROR(SEARCH("会長",shinsei_KAKU_SUMI_KOUFU_NAME)),cst_shinsei_KAKU_SUMI_KOUFU_NAME,SUBSTITUTE(shinsei_KAKU_SUMI_KOUFU_NAME,"会長",CHAR(10)&amp;"会長")),SUBSTITUTE(shinsei_KAKU_SUMI_KOUFU_NAME,"理事長",CHAR(10)&amp;"理事長")),SUBSTITUTE(shinsei_KAKU_SUMI_KOUFU_NAME,"建築主事",CHAR(10)&amp;"建築主事")),SUBSTITUTE(shinsei_KAKU_SUMI_KOUFU_NAME,"代表",CHAR(10)&amp;"代表"))</f>
      </c>
      <c r="J669" s="11" t="s">
        <v>534</v>
      </c>
    </row>
    <row r="670" spans="1:9" s="11" customFormat="1" ht="12.75" customHeight="1">
      <c r="A670" s="52"/>
      <c r="B670" s="52"/>
      <c r="C670" s="52" t="s">
        <v>535</v>
      </c>
      <c r="D670" s="52"/>
      <c r="E670" s="52"/>
      <c r="F670" s="52" t="s">
        <v>3409</v>
      </c>
      <c r="I670" s="80"/>
    </row>
    <row r="671" spans="1:9" s="11" customFormat="1" ht="12.75" customHeight="1">
      <c r="A671" s="52"/>
      <c r="B671" s="52"/>
      <c r="C671" s="52" t="s">
        <v>1578</v>
      </c>
      <c r="D671" s="52"/>
      <c r="E671" s="52"/>
      <c r="F671" s="52" t="s">
        <v>3825</v>
      </c>
      <c r="G671" s="68" t="s">
        <v>3409</v>
      </c>
      <c r="I671" s="80"/>
    </row>
    <row r="672" spans="1:9" s="11" customFormat="1" ht="12.75" customHeight="1">
      <c r="A672" s="52"/>
      <c r="B672" s="52"/>
      <c r="C672" s="52" t="s">
        <v>1579</v>
      </c>
      <c r="D672" s="52"/>
      <c r="E672" s="52"/>
      <c r="F672" s="52" t="s">
        <v>3826</v>
      </c>
      <c r="G672" s="96"/>
      <c r="H672" s="11" t="s">
        <v>2090</v>
      </c>
      <c r="I672" s="152">
        <f>IF(kakaru_shinsei_ISSUE_DATE="","",kakaru_shinsei_ISSUE_DATE)</f>
      </c>
    </row>
    <row r="673" spans="1:15" s="55" customFormat="1" ht="12.75" customHeight="1">
      <c r="A673" s="86"/>
      <c r="B673" s="86"/>
      <c r="C673" s="86"/>
      <c r="D673" s="86"/>
      <c r="E673" s="86"/>
      <c r="F673" s="86" t="s">
        <v>3409</v>
      </c>
      <c r="J673" s="308"/>
      <c r="M673" s="86"/>
      <c r="N673" s="84"/>
      <c r="O673" s="84"/>
    </row>
    <row r="674" spans="1:9" s="11" customFormat="1" ht="12.75" customHeight="1">
      <c r="A674" s="52"/>
      <c r="B674" s="52"/>
      <c r="C674" s="52" t="s">
        <v>1580</v>
      </c>
      <c r="D674" s="52"/>
      <c r="E674" s="52"/>
      <c r="F674" s="52" t="s">
        <v>3827</v>
      </c>
      <c r="G674" s="68" t="s">
        <v>3409</v>
      </c>
      <c r="I674" s="80"/>
    </row>
    <row r="675" spans="1:9" s="11" customFormat="1" ht="12.75" customHeight="1">
      <c r="A675" s="52"/>
      <c r="B675" s="52"/>
      <c r="C675" s="52" t="s">
        <v>1581</v>
      </c>
      <c r="D675" s="52"/>
      <c r="E675" s="52"/>
      <c r="F675" s="52" t="s">
        <v>3828</v>
      </c>
      <c r="G675" s="68" t="s">
        <v>3409</v>
      </c>
      <c r="I675" s="80"/>
    </row>
    <row r="676" spans="1:13" s="55" customFormat="1" ht="12.75" customHeight="1">
      <c r="A676" s="86"/>
      <c r="B676" s="86"/>
      <c r="C676" s="86"/>
      <c r="D676" s="86"/>
      <c r="E676" s="86"/>
      <c r="F676" s="86" t="s">
        <v>3409</v>
      </c>
      <c r="J676" s="308"/>
      <c r="K676" s="86"/>
      <c r="L676" s="84"/>
      <c r="M676" s="84"/>
    </row>
    <row r="677" spans="1:7" s="11" customFormat="1" ht="12.75" customHeight="1">
      <c r="A677" s="13"/>
      <c r="B677" s="13"/>
      <c r="C677" s="13"/>
      <c r="D677" s="13"/>
      <c r="E677" s="13"/>
      <c r="F677" s="13" t="s">
        <v>3409</v>
      </c>
      <c r="G677" s="12"/>
    </row>
    <row r="678" spans="1:7" s="11" customFormat="1" ht="12.75" customHeight="1">
      <c r="A678" s="151" t="s">
        <v>2084</v>
      </c>
      <c r="B678" s="151"/>
      <c r="C678" s="151"/>
      <c r="D678" s="151"/>
      <c r="E678" s="151"/>
      <c r="F678" s="151" t="s">
        <v>3409</v>
      </c>
      <c r="G678" s="12"/>
    </row>
    <row r="679" spans="1:7" s="11" customFormat="1" ht="12.75" customHeight="1">
      <c r="A679" s="13"/>
      <c r="B679" s="13"/>
      <c r="C679" s="13"/>
      <c r="D679" s="13"/>
      <c r="E679" s="13"/>
      <c r="F679" s="13" t="s">
        <v>3409</v>
      </c>
      <c r="G679" s="12"/>
    </row>
    <row r="680" spans="1:9" s="11" customFormat="1" ht="12.75" customHeight="1">
      <c r="A680" s="52"/>
      <c r="B680" s="13" t="s">
        <v>2087</v>
      </c>
      <c r="C680" s="52"/>
      <c r="D680" s="52"/>
      <c r="E680" s="13"/>
      <c r="F680" s="52" t="s">
        <v>3409</v>
      </c>
      <c r="H680" s="11" t="s">
        <v>2267</v>
      </c>
      <c r="I680" s="22">
        <f>IF(cst__button_kind="","",IF(cst_shinsei_xx_NOTIFY_DATE="","",cst_shinsei_xx_NOTIFY_DATE))</f>
      </c>
    </row>
    <row r="681" spans="1:10" s="132" customFormat="1" ht="12.75" customHeight="1">
      <c r="A681" s="325"/>
      <c r="B681" s="325"/>
      <c r="C681" s="326"/>
      <c r="D681" s="326"/>
      <c r="E681" s="325"/>
      <c r="F681" s="325" t="s">
        <v>3409</v>
      </c>
      <c r="H681" s="12" t="s">
        <v>2634</v>
      </c>
      <c r="I681" s="131" t="str">
        <f>IF(cst_shinsei__NOTIFY_DATE="",cst_DISP__date,cst_shinsei__NOTIFY_DATE)</f>
        <v>平成    年    月    日</v>
      </c>
      <c r="J681" s="50"/>
    </row>
    <row r="682" spans="1:9" s="11" customFormat="1" ht="12.75" customHeight="1">
      <c r="A682" s="13"/>
      <c r="B682" s="13"/>
      <c r="C682" s="13"/>
      <c r="D682" s="13"/>
      <c r="E682" s="13"/>
      <c r="F682" s="52" t="s">
        <v>3409</v>
      </c>
      <c r="I682" s="101"/>
    </row>
    <row r="683" spans="1:8" s="11" customFormat="1" ht="12.75" customHeight="1">
      <c r="A683" s="13"/>
      <c r="B683" s="13"/>
      <c r="C683" s="13"/>
      <c r="D683" s="13"/>
      <c r="E683" s="13"/>
      <c r="F683" s="13" t="s">
        <v>3409</v>
      </c>
      <c r="G683" s="12"/>
      <c r="H683" s="12"/>
    </row>
    <row r="684" spans="1:12" s="11" customFormat="1" ht="12.75" customHeight="1">
      <c r="A684" s="151" t="s">
        <v>1312</v>
      </c>
      <c r="B684" s="151"/>
      <c r="C684" s="151"/>
      <c r="D684" s="151"/>
      <c r="E684" s="151"/>
      <c r="F684" s="151" t="s">
        <v>3409</v>
      </c>
      <c r="G684" s="12"/>
      <c r="K684" s="101"/>
      <c r="L684" s="101"/>
    </row>
    <row r="685" spans="1:9" s="11" customFormat="1" ht="12.75" customHeight="1">
      <c r="A685" s="52"/>
      <c r="B685" s="52"/>
      <c r="C685" s="13"/>
      <c r="D685" s="13"/>
      <c r="E685" s="13"/>
      <c r="F685" s="52" t="s">
        <v>3409</v>
      </c>
      <c r="I685" s="101"/>
    </row>
    <row r="686" spans="1:9" s="11" customFormat="1" ht="12.75" customHeight="1">
      <c r="A686" s="52"/>
      <c r="B686" s="13" t="s">
        <v>1506</v>
      </c>
      <c r="C686" s="13"/>
      <c r="D686" s="13"/>
      <c r="E686" s="13"/>
      <c r="F686" s="13" t="s">
        <v>1507</v>
      </c>
      <c r="G686" s="14" t="s">
        <v>3409</v>
      </c>
      <c r="H686" s="12" t="s">
        <v>2234</v>
      </c>
      <c r="I686" s="18">
        <f>IF(shinsei_STRUCTRESULT_NOTIFY_KOUFU_NAME="","",shinsei_STRUCTRESULT_NOTIFY_KOUFU_NAME)</f>
      </c>
    </row>
    <row r="687" spans="1:12" s="11" customFormat="1" ht="12.75" customHeight="1">
      <c r="A687" s="52"/>
      <c r="B687" s="52"/>
      <c r="C687" s="12" t="s">
        <v>164</v>
      </c>
      <c r="D687" s="12"/>
      <c r="E687" s="12"/>
      <c r="F687" s="12" t="s">
        <v>3829</v>
      </c>
      <c r="G687" s="17"/>
      <c r="K687" s="101"/>
      <c r="L687" s="101"/>
    </row>
    <row r="688" spans="1:12" s="11" customFormat="1" ht="12.75" customHeight="1">
      <c r="A688" s="52"/>
      <c r="B688" s="52"/>
      <c r="C688" s="13"/>
      <c r="D688" s="52"/>
      <c r="E688" s="13"/>
      <c r="F688" s="13" t="s">
        <v>3409</v>
      </c>
      <c r="G688" s="12"/>
      <c r="K688" s="101"/>
      <c r="L688" s="101"/>
    </row>
    <row r="689" spans="2:9" ht="12.75" customHeight="1">
      <c r="B689" s="13" t="s">
        <v>2832</v>
      </c>
      <c r="C689" s="13"/>
      <c r="D689" s="13"/>
      <c r="E689" s="13"/>
      <c r="F689" s="13" t="s">
        <v>3830</v>
      </c>
      <c r="G689" s="7"/>
      <c r="H689" s="4" t="s">
        <v>2139</v>
      </c>
      <c r="I689" s="46">
        <f>IF(shinsei_STR_SHINSEI_TOWERS="",0,shinsei_STR_SHINSEI_TOWERS)</f>
        <v>0</v>
      </c>
    </row>
    <row r="690" spans="6:9" ht="12.75" customHeight="1">
      <c r="F690" s="49" t="s">
        <v>3409</v>
      </c>
      <c r="H690" s="4" t="s">
        <v>331</v>
      </c>
      <c r="I690" s="20">
        <f>ROUNDUP(cst_shinsei_STR_SHINSEI_TOWERS/4,0)</f>
        <v>0</v>
      </c>
    </row>
    <row r="691" ht="12.75" customHeight="1">
      <c r="F691" s="49" t="s">
        <v>3409</v>
      </c>
    </row>
    <row r="692" spans="2:9" ht="12.75" customHeight="1">
      <c r="B692" s="49" t="s">
        <v>2223</v>
      </c>
      <c r="F692" s="49" t="s">
        <v>3831</v>
      </c>
      <c r="G692" s="7"/>
      <c r="H692" s="4" t="s">
        <v>2224</v>
      </c>
      <c r="I692" s="7">
        <f>IF(shinsei_strtower01_JUDGE="","",shinsei_strtower01_JUDGE)</f>
      </c>
    </row>
    <row r="693" ht="12.75" customHeight="1">
      <c r="F693" s="49" t="s">
        <v>3409</v>
      </c>
    </row>
    <row r="694" ht="12.75" customHeight="1">
      <c r="F694" s="49" t="s">
        <v>3409</v>
      </c>
    </row>
    <row r="695" spans="2:7" ht="12.75" customHeight="1">
      <c r="B695" s="13" t="s">
        <v>1313</v>
      </c>
      <c r="C695" s="13"/>
      <c r="D695" s="13"/>
      <c r="E695" s="13"/>
      <c r="F695" s="13" t="s">
        <v>3832</v>
      </c>
      <c r="G695" s="96"/>
    </row>
    <row r="696" spans="2:7" ht="12.75" customHeight="1">
      <c r="B696" s="13" t="s">
        <v>2795</v>
      </c>
      <c r="C696" s="13"/>
      <c r="D696" s="13"/>
      <c r="E696" s="13"/>
      <c r="F696" s="13" t="s">
        <v>3833</v>
      </c>
      <c r="G696" s="96"/>
    </row>
    <row r="697" spans="1:9" s="11" customFormat="1" ht="12.75" customHeight="1">
      <c r="A697" s="52"/>
      <c r="B697" s="13" t="s">
        <v>2360</v>
      </c>
      <c r="C697" s="13"/>
      <c r="D697" s="13"/>
      <c r="E697" s="13"/>
      <c r="F697" s="13" t="s">
        <v>3834</v>
      </c>
      <c r="G697" s="96"/>
      <c r="H697" s="11" t="s">
        <v>2361</v>
      </c>
      <c r="I697" s="241">
        <f>IF(shinsei_STRIRAI_TEKIHAN_ACCEPT_DATE="","",shinsei_STRIRAI_TEKIHAN_ACCEPT_DATE)</f>
      </c>
    </row>
    <row r="698" spans="1:9" s="11" customFormat="1" ht="12.75" customHeight="1">
      <c r="A698" s="52"/>
      <c r="B698" s="13" t="s">
        <v>3230</v>
      </c>
      <c r="C698" s="13"/>
      <c r="D698" s="13"/>
      <c r="E698" s="13"/>
      <c r="F698" s="13" t="s">
        <v>3835</v>
      </c>
      <c r="G698" s="14" t="s">
        <v>3409</v>
      </c>
      <c r="H698" s="11" t="s">
        <v>3231</v>
      </c>
      <c r="I698" s="57">
        <f>IF(shinsei_STRIRAI_TEKIHAN_ACCEPT_NO="","",shinsei_STRIRAI_TEKIHAN_ACCEPT_NO)</f>
      </c>
    </row>
    <row r="699" spans="1:12" s="11" customFormat="1" ht="12.75" customHeight="1">
      <c r="A699" s="52"/>
      <c r="B699" s="323" t="s">
        <v>1314</v>
      </c>
      <c r="C699" s="323"/>
      <c r="D699" s="323"/>
      <c r="E699" s="323"/>
      <c r="F699" s="323" t="s">
        <v>3836</v>
      </c>
      <c r="G699" s="96"/>
      <c r="K699" s="101"/>
      <c r="L699" s="101"/>
    </row>
    <row r="700" spans="1:12" s="11" customFormat="1" ht="12.75" customHeight="1">
      <c r="A700" s="52"/>
      <c r="B700" s="13" t="s">
        <v>1315</v>
      </c>
      <c r="C700" s="13"/>
      <c r="D700" s="13"/>
      <c r="E700" s="323"/>
      <c r="F700" s="323" t="s">
        <v>3837</v>
      </c>
      <c r="G700" s="96"/>
      <c r="K700" s="101"/>
      <c r="L700" s="101"/>
    </row>
    <row r="701" spans="1:12" s="11" customFormat="1" ht="12.75" customHeight="1">
      <c r="A701" s="52"/>
      <c r="B701" s="49" t="s">
        <v>1316</v>
      </c>
      <c r="C701" s="13"/>
      <c r="D701" s="52"/>
      <c r="E701" s="13"/>
      <c r="F701" s="13" t="s">
        <v>3409</v>
      </c>
      <c r="G701" s="12"/>
      <c r="H701" s="55" t="s">
        <v>1317</v>
      </c>
      <c r="I701" s="131">
        <f>IF(cst__button_kind="","",IF(cst_shinsei_xx_STRUCT_TUIKA_NOTIFT_DATE="","",cst_shinsei_xx_STRUCT_TUIKA_NOTIFT_DATE))</f>
      </c>
      <c r="K701" s="101"/>
      <c r="L701" s="101"/>
    </row>
    <row r="702" spans="1:12" s="11" customFormat="1" ht="12.75" customHeight="1">
      <c r="A702" s="52"/>
      <c r="B702" s="60" t="s">
        <v>1318</v>
      </c>
      <c r="C702" s="13"/>
      <c r="D702" s="52"/>
      <c r="E702" s="13"/>
      <c r="F702" s="13" t="s">
        <v>3409</v>
      </c>
      <c r="G702" s="12"/>
      <c r="H702" s="15" t="s">
        <v>2571</v>
      </c>
      <c r="I702" s="131">
        <f>IF(cst__button_kind="","",IF(cst_shinsei_xx_STRUCT_HENKOU_NOTIFT_DATE="","",cst_shinsei_xx_STRUCT_HENKOU_NOTIFT_DATE))</f>
      </c>
      <c r="K702" s="101"/>
      <c r="L702" s="101"/>
    </row>
    <row r="703" spans="1:12" s="11" customFormat="1" ht="12.75" customHeight="1">
      <c r="A703" s="52"/>
      <c r="B703" s="52"/>
      <c r="C703" s="13"/>
      <c r="D703" s="52"/>
      <c r="E703" s="13"/>
      <c r="F703" s="13" t="s">
        <v>3409</v>
      </c>
      <c r="G703" s="12"/>
      <c r="K703" s="101"/>
      <c r="L703" s="101"/>
    </row>
    <row r="704" spans="1:9" s="11" customFormat="1" ht="12.75" customHeight="1">
      <c r="A704" s="52"/>
      <c r="B704" s="13" t="s">
        <v>2236</v>
      </c>
      <c r="C704" s="13"/>
      <c r="D704" s="13"/>
      <c r="E704" s="13"/>
      <c r="F704" s="13" t="s">
        <v>3409</v>
      </c>
      <c r="G704" s="12"/>
      <c r="H704" s="12"/>
      <c r="I704" s="12"/>
    </row>
    <row r="705" spans="1:9" s="11" customFormat="1" ht="12.75" customHeight="1">
      <c r="A705" s="52"/>
      <c r="B705" s="13"/>
      <c r="C705" s="13" t="s">
        <v>2237</v>
      </c>
      <c r="D705" s="13"/>
      <c r="E705" s="13"/>
      <c r="F705" s="13" t="s">
        <v>1963</v>
      </c>
      <c r="G705" s="96"/>
      <c r="H705" s="11" t="s">
        <v>2238</v>
      </c>
      <c r="I705" s="90">
        <f>IF(shinsei_STRUCTRESULT_NOTIFY_DATE="","",shinsei_STRUCTRESULT_NOTIFY_DATE)</f>
      </c>
    </row>
    <row r="706" spans="1:9" s="11" customFormat="1" ht="12.75" customHeight="1">
      <c r="A706" s="52"/>
      <c r="B706" s="13"/>
      <c r="C706" s="13" t="s">
        <v>2239</v>
      </c>
      <c r="D706" s="13"/>
      <c r="E706" s="13"/>
      <c r="F706" s="13" t="s">
        <v>1964</v>
      </c>
      <c r="G706" s="14" t="s">
        <v>3409</v>
      </c>
      <c r="H706" s="11" t="s">
        <v>2240</v>
      </c>
      <c r="I706" s="18">
        <f>IF(shinsei_STRUCTRESULT_NOTIFY_NO="","",shinsei_STRUCTRESULT_NOTIFY_NO)</f>
      </c>
    </row>
    <row r="707" spans="1:9" s="11" customFormat="1" ht="12.75" customHeight="1">
      <c r="A707" s="52"/>
      <c r="B707" s="13"/>
      <c r="C707" s="13" t="s">
        <v>2241</v>
      </c>
      <c r="D707" s="13"/>
      <c r="E707" s="13"/>
      <c r="F707" s="13" t="s">
        <v>1353</v>
      </c>
      <c r="G707" s="17"/>
      <c r="H707" s="11" t="s">
        <v>2242</v>
      </c>
      <c r="I707" s="58">
        <f>IF(shinsei_STRUCTRESULT_NOTIFY_RESULT="","",shinsei_STRUCTRESULT_NOTIFY_RESULT)</f>
      </c>
    </row>
    <row r="708" spans="1:9" s="11" customFormat="1" ht="12.75" customHeight="1">
      <c r="A708" s="52"/>
      <c r="B708" s="13"/>
      <c r="C708" s="13" t="s">
        <v>2235</v>
      </c>
      <c r="D708" s="13"/>
      <c r="E708" s="13"/>
      <c r="F708" s="13" t="s">
        <v>1354</v>
      </c>
      <c r="G708" s="17"/>
      <c r="H708" s="12"/>
      <c r="I708" s="12"/>
    </row>
    <row r="709" spans="1:12" s="11" customFormat="1" ht="12.75" customHeight="1">
      <c r="A709" s="52"/>
      <c r="B709" s="52"/>
      <c r="C709" s="13"/>
      <c r="D709" s="52"/>
      <c r="E709" s="13"/>
      <c r="F709" s="13" t="s">
        <v>3409</v>
      </c>
      <c r="G709" s="12"/>
      <c r="K709" s="101"/>
      <c r="L709" s="101"/>
    </row>
    <row r="710" spans="1:9" s="11" customFormat="1" ht="12.75" customHeight="1">
      <c r="A710" s="52"/>
      <c r="B710" s="52"/>
      <c r="C710" s="13"/>
      <c r="D710" s="13"/>
      <c r="E710" s="13"/>
      <c r="F710" s="52" t="s">
        <v>3409</v>
      </c>
      <c r="I710" s="101"/>
    </row>
    <row r="711" spans="1:9" s="11" customFormat="1" ht="12.75" customHeight="1">
      <c r="A711" s="51" t="s">
        <v>2078</v>
      </c>
      <c r="B711" s="64"/>
      <c r="C711" s="51"/>
      <c r="D711" s="51"/>
      <c r="E711" s="51"/>
      <c r="F711" s="64" t="s">
        <v>3409</v>
      </c>
      <c r="I711" s="101"/>
    </row>
    <row r="712" spans="1:9" s="11" customFormat="1" ht="12.75" customHeight="1">
      <c r="A712" s="13"/>
      <c r="B712" s="52"/>
      <c r="C712" s="13"/>
      <c r="D712" s="13"/>
      <c r="E712" s="13"/>
      <c r="F712" s="52" t="s">
        <v>3409</v>
      </c>
      <c r="I712" s="101"/>
    </row>
    <row r="713" spans="1:10" s="12" customFormat="1" ht="12.75" customHeight="1">
      <c r="A713" s="13"/>
      <c r="B713" s="13" t="s">
        <v>2784</v>
      </c>
      <c r="C713" s="13"/>
      <c r="D713" s="13"/>
      <c r="E713" s="13"/>
      <c r="F713" s="52" t="s">
        <v>3409</v>
      </c>
      <c r="J713" s="11"/>
    </row>
    <row r="714" spans="1:9" s="11" customFormat="1" ht="12.75" customHeight="1">
      <c r="A714" s="52"/>
      <c r="B714" s="52"/>
      <c r="C714" s="52"/>
      <c r="D714" s="52" t="s">
        <v>2848</v>
      </c>
      <c r="E714" s="52"/>
      <c r="F714" s="52" t="s">
        <v>3409</v>
      </c>
      <c r="H714" s="11" t="s">
        <v>2321</v>
      </c>
      <c r="I714" s="62" t="str">
        <f>IF(cst_shinsei_REPORT_DEST_SYUJI_NAME__decision="","",IF(OR(RIGHT(cst_shinsei_REPORT_DEST_SYUJI_NAME__decision)="課",RIGHT(cst_shinsei_REPORT_DEST_SYUJI_NAME__decision)="庁"),SUBSTITUTE(cst_shinsei_REPORT_DEST_SYUJI_NAME__decision,"　",CHAR(10))&amp;"　御中",SUBSTITUTE(cst_shinsei_REPORT_DEST_SYUJI_NAME__decision,"　",CHAR(10))&amp;"　様"))</f>
        <v>尼崎市建築主事　様</v>
      </c>
    </row>
    <row r="715" spans="1:6" s="11" customFormat="1" ht="12.75" customHeight="1">
      <c r="A715" s="52"/>
      <c r="B715" s="52"/>
      <c r="C715" s="52"/>
      <c r="D715" s="52"/>
      <c r="E715" s="52"/>
      <c r="F715" s="52" t="s">
        <v>3409</v>
      </c>
    </row>
    <row r="716" spans="1:10" s="55" customFormat="1" ht="12.75" customHeight="1">
      <c r="A716" s="13"/>
      <c r="B716" s="327" t="s">
        <v>2785</v>
      </c>
      <c r="C716" s="327"/>
      <c r="D716" s="327"/>
      <c r="E716" s="327"/>
      <c r="F716" s="52" t="s">
        <v>3409</v>
      </c>
      <c r="G716" s="11"/>
      <c r="J716" s="308"/>
    </row>
    <row r="717" spans="1:9" s="11" customFormat="1" ht="12.75" customHeight="1">
      <c r="A717" s="52"/>
      <c r="B717" s="52"/>
      <c r="C717" s="52"/>
      <c r="D717" s="52" t="s">
        <v>2848</v>
      </c>
      <c r="E717" s="52"/>
      <c r="F717" s="52" t="s">
        <v>3409</v>
      </c>
      <c r="H717" s="11" t="s">
        <v>2322</v>
      </c>
      <c r="I717" s="62" t="str">
        <f>IF(cst_shinsei_REPORT_DEST_GYOUSEI_NAME__decision="","",IF(OR(RIGHT(cst_shinsei_REPORT_DEST_GYOUSEI_NAME__decision)="課",RIGHT(cst_shinsei_REPORT_DEST_GYOUSEI_NAME__decision)="庁"),SUBSTITUTE(cst_shinsei_REPORT_DEST_GYOUSEI_NAME__decision,"　",CHAR(10))&amp;"　御中",SUBSTITUTE(cst_shinsei_REPORT_DEST_GYOUSEI_NAME__decision,"　",CHAR(10))&amp;"　様"))</f>
        <v>尼崎市長　様</v>
      </c>
    </row>
    <row r="718" ht="12.75" customHeight="1">
      <c r="F718" s="318" t="s">
        <v>3409</v>
      </c>
    </row>
    <row r="719" spans="1:9" s="11" customFormat="1" ht="12.75" customHeight="1">
      <c r="A719" s="52"/>
      <c r="B719" s="52" t="s">
        <v>527</v>
      </c>
      <c r="C719" s="13"/>
      <c r="D719" s="13"/>
      <c r="E719" s="13"/>
      <c r="F719" s="52" t="s">
        <v>3409</v>
      </c>
      <c r="H719" s="12" t="s">
        <v>197</v>
      </c>
      <c r="I719" s="62" t="str">
        <f>IF(_button_kind="交付",cst_shinsei_ISSUE_NO__disp,cst_shinsei_UKETUKE_NO__disp)</f>
        <v>第H27確認建築近確0002130号</v>
      </c>
    </row>
    <row r="720" spans="1:9" s="11" customFormat="1" ht="12.75" customHeight="1">
      <c r="A720" s="52"/>
      <c r="B720" s="52"/>
      <c r="C720" s="13"/>
      <c r="D720" s="13"/>
      <c r="E720" s="13"/>
      <c r="F720" s="52" t="s">
        <v>3409</v>
      </c>
      <c r="I720" s="101"/>
    </row>
    <row r="721" spans="1:9" s="11" customFormat="1" ht="12.75" customHeight="1">
      <c r="A721" s="52"/>
      <c r="B721" s="52" t="s">
        <v>2467</v>
      </c>
      <c r="C721" s="52"/>
      <c r="D721" s="52"/>
      <c r="E721" s="52"/>
      <c r="F721" s="52" t="s">
        <v>3409</v>
      </c>
      <c r="H721" s="11" t="s">
        <v>2266</v>
      </c>
      <c r="I721" s="22">
        <f>IF(_button_kind="交付",cst_shinsei_HOUKOKU_DATE,IF(cst__button_kind="","",IF(cst_shinsei_xx_REPORT_DATE="","",cst_shinsei_xx_REPORT_DATE)))</f>
      </c>
    </row>
    <row r="722" spans="1:9" s="11" customFormat="1" ht="12.75" customHeight="1">
      <c r="A722" s="13"/>
      <c r="B722" s="13"/>
      <c r="C722" s="13"/>
      <c r="D722" s="13"/>
      <c r="E722" s="13"/>
      <c r="F722" s="52" t="s">
        <v>3409</v>
      </c>
      <c r="H722" s="11" t="s">
        <v>526</v>
      </c>
      <c r="I722" s="22" t="str">
        <f>IF(cst_shinsei__REPORT_DATE="",cst_DISP__date,cst_shinsei__REPORT_DATE)</f>
        <v>平成    年    月    日</v>
      </c>
    </row>
    <row r="723" spans="1:9" s="11" customFormat="1" ht="12.75" customHeight="1">
      <c r="A723" s="13"/>
      <c r="B723" s="13"/>
      <c r="C723" s="13" t="s">
        <v>2572</v>
      </c>
      <c r="D723" s="13"/>
      <c r="E723" s="13"/>
      <c r="F723" s="52" t="s">
        <v>3409</v>
      </c>
      <c r="H723" s="11" t="s">
        <v>2573</v>
      </c>
      <c r="I723" s="22">
        <f>IF(_button_kind="交付",cst_shinsei_ISSUE_DATE,cst_shinsei__NOTIFY_DATE)</f>
      </c>
    </row>
    <row r="724" spans="1:9" s="11" customFormat="1" ht="12.75" customHeight="1">
      <c r="A724" s="13"/>
      <c r="B724" s="13"/>
      <c r="C724" s="13"/>
      <c r="D724" s="13"/>
      <c r="E724" s="13"/>
      <c r="F724" s="52" t="s">
        <v>3409</v>
      </c>
      <c r="H724" s="11" t="s">
        <v>2574</v>
      </c>
      <c r="I724" s="22" t="str">
        <f>IF(cst_shinsei__REPORT_DATE__disp="",cst_DISP__date,cst_shinsei__REPORT_DATE__disp)</f>
        <v>平成    年    月    日</v>
      </c>
    </row>
    <row r="725" spans="1:9" s="11" customFormat="1" ht="12.75" customHeight="1">
      <c r="A725" s="13"/>
      <c r="B725" s="13"/>
      <c r="C725" s="13"/>
      <c r="D725" s="13"/>
      <c r="E725" s="13"/>
      <c r="F725" s="52" t="s">
        <v>3409</v>
      </c>
      <c r="I725" s="101"/>
    </row>
    <row r="726" spans="1:9" s="11" customFormat="1" ht="12.75" customHeight="1">
      <c r="A726" s="52"/>
      <c r="B726" s="13" t="s">
        <v>2034</v>
      </c>
      <c r="C726" s="13"/>
      <c r="D726" s="13"/>
      <c r="E726" s="13"/>
      <c r="F726" s="52" t="s">
        <v>3409</v>
      </c>
      <c r="H726" s="11" t="s">
        <v>2565</v>
      </c>
      <c r="I726" s="62">
        <f>IF(cst_shinsei__NOTIFY_LIMIT_DATE__disp="","",IF(ISERROR(FIND("[ 期限年月日参照 ]",cst_shinsei__NOTIFY_NOTE)),"（備考）",""))</f>
      </c>
    </row>
    <row r="727" spans="1:9" s="11" customFormat="1" ht="12.75" customHeight="1">
      <c r="A727" s="52"/>
      <c r="B727" s="13" t="s">
        <v>2035</v>
      </c>
      <c r="C727" s="13"/>
      <c r="D727" s="13"/>
      <c r="E727" s="13"/>
      <c r="F727" s="52" t="s">
        <v>3409</v>
      </c>
      <c r="H727" s="11" t="s">
        <v>2566</v>
      </c>
      <c r="I727" s="62" t="str">
        <f>IF(cst_shinsei__NOTIFY_LIMIT_DATE__disp="","（備考）",IF(ISERROR(FIND("[ 期限年月日参照 ]",cst_shinsei__NOTIFY_NOTE)),"","（備考）"))</f>
        <v>（備考）</v>
      </c>
    </row>
    <row r="728" spans="1:10" s="11" customFormat="1" ht="12.75" customHeight="1">
      <c r="A728" s="52"/>
      <c r="B728" s="52" t="s">
        <v>2561</v>
      </c>
      <c r="C728" s="52"/>
      <c r="D728" s="52"/>
      <c r="E728" s="52"/>
      <c r="F728" s="52" t="s">
        <v>3409</v>
      </c>
      <c r="H728" s="12" t="s">
        <v>1459</v>
      </c>
      <c r="I728" s="131">
        <f>IF(cst__button_kind="","",IF(OR(_button_kind="impossx",AND(cst_shinsei_INSPECTION_TYPE_class2="確認申請",_button_kind="ng"),_button_kind="ngx"),"",IF(cst_shinsei_xx_NOTIFY_LIMIT_DATE="","期限日： "&amp;cst_DISP__date,"期限日： 平成"&amp;TEXT(cst_shinsei_xx_NOTIFY_LIMIT_DATE,"ee")&amp;"年"&amp;TEXT(cst_shinsei_xx_NOTIFY_LIMIT_DATE,"mm")&amp;"月"&amp;TEXT(cst_shinsei_xx_NOTIFY_LIMIT_DATE,"dd")&amp;"日")))</f>
      </c>
      <c r="J728" s="11" t="s">
        <v>298</v>
      </c>
    </row>
    <row r="729" spans="1:10" s="11" customFormat="1" ht="12.75" customHeight="1">
      <c r="A729" s="52"/>
      <c r="B729" s="52"/>
      <c r="C729" s="52"/>
      <c r="D729" s="52"/>
      <c r="E729" s="52"/>
      <c r="F729" s="52" t="s">
        <v>3409</v>
      </c>
      <c r="H729" s="12" t="s">
        <v>2578</v>
      </c>
      <c r="I729" s="131">
        <f>IF(cst__button_kind="","",IF(OR(_button_kind="impossx",AND(cst_shinsei_INSPECTION_TYPE_class2="確認申請",_button_kind="ng"),_button_kind="ngx"),"",IF(cst_shinsei_xx_NOTIFY_LIMIT_DATE="",CHAR(10)&amp;"軽微な補正及び追加説明の提出期限： "&amp;cst_DISP__date,CHAR(10)&amp;"軽微な補正及び追加説明の提出期限： 平成"&amp;TEXT(cst_shinsei_xx_NOTIFY_LIMIT_DATE,"ee")&amp;"年"&amp;TEXT(cst_shinsei_xx_NOTIFY_LIMIT_DATE,"m")&amp;"月"&amp;TEXT(cst_shinsei_xx_NOTIFY_LIMIT_DATE,"d")&amp;"日")))</f>
      </c>
      <c r="J729" s="11" t="s">
        <v>2579</v>
      </c>
    </row>
    <row r="730" spans="1:12" s="11" customFormat="1" ht="12.75" customHeight="1">
      <c r="A730" s="52"/>
      <c r="B730" s="13" t="s">
        <v>2563</v>
      </c>
      <c r="C730" s="52"/>
      <c r="D730" s="52"/>
      <c r="E730" s="52"/>
      <c r="F730" s="52" t="s">
        <v>3409</v>
      </c>
      <c r="H730" s="12" t="s">
        <v>1456</v>
      </c>
      <c r="I730" s="131">
        <f>IF(cst__button_kind="","",IF(OR(_button_kind="impossx",AND(cst_shinsei_INSPECTION_TYPE_class2="確認申請",_button_kind="ng"),_button_kind="ngx"),"",cst_shinsei_xx_NOTIFY_LIMIT_DATE))</f>
      </c>
      <c r="K730" s="101"/>
      <c r="L730" s="101"/>
    </row>
    <row r="731" spans="1:12" s="11" customFormat="1" ht="12.75" customHeight="1">
      <c r="A731" s="52"/>
      <c r="B731" s="13" t="s">
        <v>2564</v>
      </c>
      <c r="C731" s="52"/>
      <c r="D731" s="52"/>
      <c r="E731" s="52"/>
      <c r="F731" s="52" t="s">
        <v>3409</v>
      </c>
      <c r="H731" s="12" t="s">
        <v>1457</v>
      </c>
      <c r="I731" s="131" t="str">
        <f>IF(cst_shinsei__NOTIFY_LIMIT_DATE="",cst_DISP__date,TEXT(cst_shinsei__NOTIFY_LIMIT_DATE,"ggg")&amp;cst_shinsei__NOTIFY_LIMIT_DATE__ee&amp;"年"&amp;cst_shinsei__NOTIFY_LIMIT_DATE__mm&amp;"月"&amp;cst_shinsei__NOTIFY_LIMIT_DATE__dd&amp;"日")</f>
        <v>平成    年    月    日</v>
      </c>
      <c r="K731" s="101"/>
      <c r="L731" s="101"/>
    </row>
    <row r="732" spans="1:9" s="11" customFormat="1" ht="12.75" customHeight="1">
      <c r="A732" s="52" t="s">
        <v>2365</v>
      </c>
      <c r="B732" s="52" t="s">
        <v>2562</v>
      </c>
      <c r="C732" s="52"/>
      <c r="D732" s="52"/>
      <c r="E732" s="52"/>
      <c r="F732" s="52" t="s">
        <v>3409</v>
      </c>
      <c r="H732" s="12" t="s">
        <v>2559</v>
      </c>
      <c r="I732" s="131">
        <f>IF(ISERROR(FIND("[ 期限年月日参照 ]",cst_shinsei__NOTIFY_NOTE)),cst_shinsei__NOTIFY_LIMIT_DATE__disp,"")</f>
      </c>
    </row>
    <row r="733" spans="1:9" s="11" customFormat="1" ht="12.75" customHeight="1">
      <c r="A733" s="52"/>
      <c r="B733" s="13" t="s">
        <v>2650</v>
      </c>
      <c r="C733" s="52"/>
      <c r="D733" s="13"/>
      <c r="E733" s="13"/>
      <c r="F733" s="52" t="s">
        <v>3409</v>
      </c>
      <c r="H733" s="12" t="s">
        <v>2465</v>
      </c>
      <c r="I733" s="62">
        <f>IF(cst__button_kind="","",IF(cst_shinsei_xx_NOTIFY_CAUSE="","",cst_shinsei_xx_NOTIFY_CAUSE))</f>
      </c>
    </row>
    <row r="734" spans="1:9" s="11" customFormat="1" ht="12.75" customHeight="1">
      <c r="A734" s="52"/>
      <c r="B734" s="13" t="s">
        <v>545</v>
      </c>
      <c r="C734" s="52"/>
      <c r="D734" s="13"/>
      <c r="E734" s="13"/>
      <c r="F734" s="52" t="s">
        <v>3409</v>
      </c>
      <c r="H734" s="12" t="s">
        <v>2466</v>
      </c>
      <c r="I734" s="62">
        <f>IF(cst__button_kind="","",IF(cst_shinsei_xx_NOTIFY_NOTE="","",cst_shinsei_xx_NOTIFY_NOTE))</f>
      </c>
    </row>
    <row r="735" spans="1:10" s="11" customFormat="1" ht="12.75" customHeight="1">
      <c r="A735" s="52" t="s">
        <v>2365</v>
      </c>
      <c r="B735" s="13" t="s">
        <v>595</v>
      </c>
      <c r="C735" s="52"/>
      <c r="D735" s="13"/>
      <c r="E735" s="13"/>
      <c r="F735" s="52" t="s">
        <v>3409</v>
      </c>
      <c r="H735" s="12" t="s">
        <v>1458</v>
      </c>
      <c r="I735" s="62" t="str">
        <f>IF(cst_shinsei_INSPECTION_TYPE_class2="確認申請",cst_shinsei_BILL_NAME__common&amp;CHAR(10),"")&amp;IF(cst__button_kind="","",SUBSTITUTE(cst_shinsei__NOTIFY_NOTE,"[ 期限年月日参照 ]",cst_shinsei__NOTIFY_LIMIT_DATE__text))</f>
        <v>（仮称）尼崎市長洲中通三丁目　新築工事
</v>
      </c>
      <c r="J735" s="11" t="s">
        <v>596</v>
      </c>
    </row>
    <row r="736" spans="1:9" s="11" customFormat="1" ht="12.75" customHeight="1">
      <c r="A736" s="52"/>
      <c r="B736" s="13" t="s">
        <v>951</v>
      </c>
      <c r="C736" s="13"/>
      <c r="D736" s="13"/>
      <c r="E736" s="13"/>
      <c r="F736" s="52" t="s">
        <v>3409</v>
      </c>
      <c r="I736" s="101"/>
    </row>
    <row r="737" spans="1:12" s="11" customFormat="1" ht="12.75" customHeight="1">
      <c r="A737" s="13"/>
      <c r="B737" s="52"/>
      <c r="C737" s="13" t="s">
        <v>952</v>
      </c>
      <c r="D737" s="52"/>
      <c r="E737" s="13"/>
      <c r="F737" s="13" t="s">
        <v>3409</v>
      </c>
      <c r="G737" s="12"/>
      <c r="H737" s="12" t="s">
        <v>954</v>
      </c>
      <c r="I737" s="62">
        <f>IF(cst__button_kind="","",cst_shinsei_ngx_CAUSE)</f>
      </c>
      <c r="K737" s="101"/>
      <c r="L737" s="101"/>
    </row>
    <row r="738" spans="1:12" s="11" customFormat="1" ht="12.75" customHeight="1">
      <c r="A738" s="52"/>
      <c r="B738" s="13"/>
      <c r="C738" s="13" t="s">
        <v>953</v>
      </c>
      <c r="D738" s="52"/>
      <c r="E738" s="13"/>
      <c r="F738" s="13" t="s">
        <v>3409</v>
      </c>
      <c r="G738" s="12"/>
      <c r="H738" s="12" t="s">
        <v>955</v>
      </c>
      <c r="I738" s="62">
        <f>IF(cst_shinsei__NOTIFY_CAUSE="",cst_shinsei__REPORT_CAUSE,cst_shinsei__NOTIFY_CAUSE)</f>
      </c>
      <c r="K738" s="101"/>
      <c r="L738" s="101"/>
    </row>
    <row r="739" spans="1:12" s="55" customFormat="1" ht="12.75" customHeight="1">
      <c r="A739" s="86"/>
      <c r="B739" s="86"/>
      <c r="C739" s="86"/>
      <c r="D739" s="86"/>
      <c r="E739" s="86"/>
      <c r="F739" s="86" t="s">
        <v>3409</v>
      </c>
      <c r="J739" s="309"/>
      <c r="K739" s="84"/>
      <c r="L739" s="84"/>
    </row>
    <row r="740" spans="1:9" s="11" customFormat="1" ht="12.75" customHeight="1">
      <c r="A740" s="13"/>
      <c r="B740" s="52"/>
      <c r="C740" s="13"/>
      <c r="D740" s="13"/>
      <c r="E740" s="13"/>
      <c r="F740" s="52" t="s">
        <v>3409</v>
      </c>
      <c r="I740" s="101"/>
    </row>
    <row r="741" spans="1:12" s="11" customFormat="1" ht="12">
      <c r="A741" s="13"/>
      <c r="B741" s="13" t="s">
        <v>185</v>
      </c>
      <c r="C741" s="52"/>
      <c r="D741" s="13"/>
      <c r="E741" s="13"/>
      <c r="F741" s="13" t="s">
        <v>3409</v>
      </c>
      <c r="G741" s="12"/>
      <c r="H741" s="12" t="s">
        <v>514</v>
      </c>
      <c r="I741" s="131" t="str">
        <f>IF(_button_kind="交付",cst_shinsei_KENSA_DATE__add_disp,IF(cst__button_kind="",cst_DISP__date,IF(cst_shinsei_INSPECTION_TYPE_class2="検査申請",IF(cst_shinsei_xx_NOTIFY_KENSA_DATE="",cst_DISP__date,cst_shinsei_xx_NOTIFY_KENSA_DATE),cst_DISP__date)))</f>
        <v>平成    年    月    日</v>
      </c>
      <c r="J741" s="256"/>
      <c r="K741" s="101"/>
      <c r="L741" s="101"/>
    </row>
    <row r="742" spans="1:9" s="11" customFormat="1" ht="12.75" customHeight="1">
      <c r="A742" s="13"/>
      <c r="B742" s="52"/>
      <c r="C742" s="13"/>
      <c r="D742" s="13"/>
      <c r="E742" s="13"/>
      <c r="F742" s="52" t="s">
        <v>3409</v>
      </c>
      <c r="I742" s="101"/>
    </row>
    <row r="743" spans="1:9" s="11" customFormat="1" ht="12">
      <c r="A743" s="52"/>
      <c r="B743" s="13" t="s">
        <v>2325</v>
      </c>
      <c r="C743" s="13"/>
      <c r="D743" s="13"/>
      <c r="E743" s="52"/>
      <c r="F743" s="52" t="s">
        <v>3409</v>
      </c>
      <c r="I743" s="101"/>
    </row>
    <row r="744" spans="1:12" s="11" customFormat="1" ht="12">
      <c r="A744" s="52"/>
      <c r="B744" s="52"/>
      <c r="C744" s="13" t="s">
        <v>2323</v>
      </c>
      <c r="D744" s="52"/>
      <c r="E744" s="13"/>
      <c r="F744" s="13" t="s">
        <v>3409</v>
      </c>
      <c r="G744" s="12"/>
      <c r="H744" s="12" t="s">
        <v>2324</v>
      </c>
      <c r="I744" s="62">
        <f>IF(_button_kind="交付","適合",IF(AND(cst_shinsei_INSPECTION_TYPE_class2="確認申請",_button_kind="ng"),"不適合",IF(cst__button_kind="","","適合するかどうかを決定することができない")))</f>
      </c>
      <c r="K744" s="101"/>
      <c r="L744" s="101"/>
    </row>
    <row r="745" spans="4:9" ht="12.75" customHeight="1">
      <c r="D745" s="49" t="s">
        <v>2577</v>
      </c>
      <c r="F745" s="318" t="s">
        <v>3409</v>
      </c>
      <c r="I745" s="62">
        <f>IF(_button_kind="交付","適合",IF(AND(cst_shinsei_INSPECTION_TYPE_class2="確認申請",_button_kind="ng"),"不適合",IF(cst__button_kind="","","適合するかどうかを決定することができない")))</f>
      </c>
    </row>
    <row r="746" spans="1:9" s="11" customFormat="1" ht="12.75" customHeight="1">
      <c r="A746" s="52"/>
      <c r="B746" s="13" t="s">
        <v>3210</v>
      </c>
      <c r="C746" s="52"/>
      <c r="D746" s="13"/>
      <c r="E746" s="13"/>
      <c r="F746" s="52" t="s">
        <v>3409</v>
      </c>
      <c r="H746" s="12" t="s">
        <v>3211</v>
      </c>
      <c r="I746" s="62">
        <f>IF(_button_kind="交付",cst_shinsei_KENSAIN,IF(cst__button_kind="","",IF(cst_shinsei_xx_NOTIFY_USER="","",cst_shinsei_xx_NOTIFY_USER)))</f>
      </c>
    </row>
    <row r="747" ht="12.75" customHeight="1">
      <c r="F747" s="318" t="s">
        <v>3409</v>
      </c>
    </row>
    <row r="748" spans="1:12" s="11" customFormat="1" ht="12">
      <c r="A748" s="52"/>
      <c r="B748" s="13" t="s">
        <v>2330</v>
      </c>
      <c r="C748" s="52"/>
      <c r="D748" s="52"/>
      <c r="E748" s="13"/>
      <c r="F748" s="52" t="s">
        <v>3409</v>
      </c>
      <c r="G748" s="12"/>
      <c r="K748" s="101"/>
      <c r="L748" s="101"/>
    </row>
    <row r="749" spans="1:12" s="11" customFormat="1" ht="12">
      <c r="A749" s="52"/>
      <c r="B749" s="13"/>
      <c r="C749" s="52"/>
      <c r="D749" s="52"/>
      <c r="E749" s="13" t="s">
        <v>2329</v>
      </c>
      <c r="F749" s="13" t="s">
        <v>3409</v>
      </c>
      <c r="G749" s="12"/>
      <c r="K749" s="101"/>
      <c r="L749" s="101"/>
    </row>
    <row r="750" spans="1:12" s="11" customFormat="1" ht="12">
      <c r="A750" s="52"/>
      <c r="B750" s="52"/>
      <c r="C750" s="52"/>
      <c r="D750" s="52"/>
      <c r="E750" s="13" t="s">
        <v>2327</v>
      </c>
      <c r="F750" s="52" t="s">
        <v>3409</v>
      </c>
      <c r="K750" s="101"/>
      <c r="L750" s="101"/>
    </row>
    <row r="751" spans="1:12" s="11" customFormat="1" ht="12">
      <c r="A751" s="52"/>
      <c r="B751" s="52"/>
      <c r="C751" s="52" t="s">
        <v>2328</v>
      </c>
      <c r="D751" s="325"/>
      <c r="E751" s="52"/>
      <c r="F751" s="52" t="s">
        <v>3409</v>
      </c>
      <c r="H751" s="12" t="s">
        <v>2331</v>
      </c>
      <c r="I751" s="62">
        <f>IF(AND(_button_kind="交付",cst_shinsei_INSPECTION_TYPE_class2="確認申請"),cst_shinsei_ISSUE_NO__disp,IF(cst_shinsei_INSPECTION_TYPE_class2="検査申請",cst_shinsei_KAKU_SUMI_NO__disp,""))</f>
      </c>
      <c r="K751" s="101"/>
      <c r="L751" s="101"/>
    </row>
    <row r="752" spans="1:12" s="11" customFormat="1" ht="12">
      <c r="A752" s="52"/>
      <c r="B752" s="52"/>
      <c r="C752" s="52"/>
      <c r="D752" s="52"/>
      <c r="E752" s="52"/>
      <c r="F752" s="52" t="s">
        <v>3409</v>
      </c>
      <c r="G752" s="12"/>
      <c r="K752" s="101"/>
      <c r="L752" s="101"/>
    </row>
    <row r="753" spans="1:12" s="55" customFormat="1" ht="12">
      <c r="A753" s="86"/>
      <c r="B753" s="86"/>
      <c r="C753" s="52" t="s">
        <v>2326</v>
      </c>
      <c r="D753" s="325"/>
      <c r="E753" s="86"/>
      <c r="F753" s="86" t="s">
        <v>3409</v>
      </c>
      <c r="H753" s="12" t="s">
        <v>2332</v>
      </c>
      <c r="I753" s="62" t="str">
        <f>IF(AND(_button_kind="交付",cst_shinsei_INSPECTION_TYPE_class2="確認申請"),cst_shinsei_ISSUE_NO__disp,IF(cst_shinsei_INSPECTION_TYPE_class2="検査申請",cst_shinsei_KAKU_SUMI_NO__disp,cst_DISP__sign))</f>
        <v>第          号</v>
      </c>
      <c r="J753" s="309"/>
      <c r="K753" s="84"/>
      <c r="L753" s="84"/>
    </row>
    <row r="754" spans="1:10" ht="11.25">
      <c r="A754" s="321"/>
      <c r="B754" s="321"/>
      <c r="C754" s="321"/>
      <c r="D754" s="321"/>
      <c r="E754" s="321"/>
      <c r="F754" s="321" t="s">
        <v>3409</v>
      </c>
      <c r="J754" s="188"/>
    </row>
    <row r="755" spans="1:12" s="11" customFormat="1" ht="12">
      <c r="A755" s="52"/>
      <c r="B755" s="13" t="s">
        <v>767</v>
      </c>
      <c r="C755" s="52"/>
      <c r="D755" s="52"/>
      <c r="E755" s="13"/>
      <c r="F755" s="52" t="s">
        <v>3409</v>
      </c>
      <c r="G755" s="12"/>
      <c r="K755" s="101"/>
      <c r="L755" s="101"/>
    </row>
    <row r="756" spans="1:12" s="11" customFormat="1" ht="12">
      <c r="A756" s="52"/>
      <c r="B756" s="13"/>
      <c r="C756" s="52"/>
      <c r="D756" s="52"/>
      <c r="E756" s="13" t="s">
        <v>2329</v>
      </c>
      <c r="F756" s="13" t="s">
        <v>3409</v>
      </c>
      <c r="G756" s="12"/>
      <c r="K756" s="101"/>
      <c r="L756" s="101"/>
    </row>
    <row r="757" spans="1:12" s="11" customFormat="1" ht="12">
      <c r="A757" s="52"/>
      <c r="B757" s="52"/>
      <c r="C757" s="52"/>
      <c r="D757" s="52"/>
      <c r="E757" s="13" t="s">
        <v>2327</v>
      </c>
      <c r="F757" s="52" t="s">
        <v>3409</v>
      </c>
      <c r="K757" s="101"/>
      <c r="L757" s="101"/>
    </row>
    <row r="758" spans="1:12" s="11" customFormat="1" ht="12">
      <c r="A758" s="52"/>
      <c r="B758" s="52"/>
      <c r="C758" s="52" t="s">
        <v>2328</v>
      </c>
      <c r="D758" s="325"/>
      <c r="E758" s="52"/>
      <c r="F758" s="13" t="s">
        <v>3409</v>
      </c>
      <c r="H758" s="12" t="s">
        <v>768</v>
      </c>
      <c r="I758" s="131">
        <f>IF(AND(_button_kind="交付",cst_shinsei_INSPECTION_TYPE_class2="確認申請"),cst_shinsei_ISSUE_DATE__disp,IF(cst_shinsei_INSPECTION_TYPE_class2="検査申請",cst_shinsei_KAKU_SUMI_KOUFU_DATE__disp,""))</f>
      </c>
      <c r="K758" s="101"/>
      <c r="L758" s="101"/>
    </row>
    <row r="759" spans="1:12" s="11" customFormat="1" ht="12">
      <c r="A759" s="52"/>
      <c r="B759" s="52"/>
      <c r="C759" s="52"/>
      <c r="D759" s="52"/>
      <c r="E759" s="52"/>
      <c r="F759" s="52" t="s">
        <v>3838</v>
      </c>
      <c r="K759" s="101"/>
      <c r="L759" s="101"/>
    </row>
    <row r="760" spans="1:12" s="55" customFormat="1" ht="12">
      <c r="A760" s="86"/>
      <c r="B760" s="86"/>
      <c r="C760" s="52" t="s">
        <v>2326</v>
      </c>
      <c r="D760" s="325"/>
      <c r="E760" s="86"/>
      <c r="F760" s="86" t="s">
        <v>3409</v>
      </c>
      <c r="H760" s="12" t="s">
        <v>769</v>
      </c>
      <c r="I760" s="131" t="str">
        <f>IF(AND(_button_kind="交付",cst_shinsei_INSPECTION_TYPE_class2="確認申請"),cst_shinsei_ISSUE_DATE__disp,IF(cst_shinsei_INSPECTION_TYPE_class2="検査申請",cst_shinsei_KAKU_SUMI_KOUFU_DATE__disp,cst_DISP__date))</f>
        <v>平成    年    月    日</v>
      </c>
      <c r="J760" s="309"/>
      <c r="K760" s="84"/>
      <c r="L760" s="84"/>
    </row>
    <row r="761" ht="12.75" customHeight="1">
      <c r="F761" s="318" t="s">
        <v>3409</v>
      </c>
    </row>
    <row r="762" spans="1:12" s="11" customFormat="1" ht="12.75" customHeight="1">
      <c r="A762" s="52"/>
      <c r="B762" s="13" t="s">
        <v>3232</v>
      </c>
      <c r="C762" s="52"/>
      <c r="D762" s="52"/>
      <c r="E762" s="13"/>
      <c r="F762" s="52" t="s">
        <v>3409</v>
      </c>
      <c r="G762" s="12"/>
      <c r="K762" s="101"/>
      <c r="L762" s="101"/>
    </row>
    <row r="763" spans="1:12" s="11" customFormat="1" ht="12.75" customHeight="1">
      <c r="A763" s="52"/>
      <c r="B763" s="13"/>
      <c r="C763" s="13"/>
      <c r="D763" s="13"/>
      <c r="E763" s="13" t="s">
        <v>2329</v>
      </c>
      <c r="F763" s="52" t="s">
        <v>3409</v>
      </c>
      <c r="G763" s="12"/>
      <c r="K763" s="101"/>
      <c r="L763" s="101"/>
    </row>
    <row r="764" spans="1:12" s="11" customFormat="1" ht="12.75" customHeight="1">
      <c r="A764" s="52"/>
      <c r="B764" s="52"/>
      <c r="C764" s="52" t="s">
        <v>736</v>
      </c>
      <c r="D764" s="52"/>
      <c r="E764" s="13"/>
      <c r="F764" s="52" t="s">
        <v>3409</v>
      </c>
      <c r="G764" s="12"/>
      <c r="H764" s="12" t="s">
        <v>738</v>
      </c>
      <c r="I764" s="62">
        <f>IF(AND(_button_kind="交付",cst_shinsei_INSPECTION_TYPE_class2="確認申請"),cst_shinsei_ISSUE_KOUFU_NAME__code,IF(cst_shinsei_INSPECTION_TYPE_class2="検査申請",cst_shinsei_KAKU_SUMI_KOUFU_NAME__code,""))</f>
      </c>
      <c r="K764" s="101"/>
      <c r="L764" s="101"/>
    </row>
    <row r="765" spans="1:9" s="11" customFormat="1" ht="12">
      <c r="A765" s="52"/>
      <c r="B765" s="52"/>
      <c r="C765" s="13"/>
      <c r="D765" s="13"/>
      <c r="E765" s="52"/>
      <c r="F765" s="52" t="s">
        <v>3409</v>
      </c>
      <c r="I765" s="101"/>
    </row>
    <row r="766" ht="12.75" customHeight="1">
      <c r="F766" s="318" t="s">
        <v>3409</v>
      </c>
    </row>
    <row r="767" spans="1:12" s="11" customFormat="1" ht="12.75" customHeight="1">
      <c r="A767" s="52"/>
      <c r="B767" s="52" t="s">
        <v>2079</v>
      </c>
      <c r="C767" s="13"/>
      <c r="D767" s="52"/>
      <c r="E767" s="13"/>
      <c r="F767" s="13" t="s">
        <v>3409</v>
      </c>
      <c r="G767" s="12"/>
      <c r="K767" s="101"/>
      <c r="L767" s="101"/>
    </row>
    <row r="768" spans="1:10" s="55" customFormat="1" ht="12.75" customHeight="1">
      <c r="A768" s="86"/>
      <c r="B768" s="86"/>
      <c r="C768" s="13" t="s">
        <v>552</v>
      </c>
      <c r="D768" s="86"/>
      <c r="E768" s="86"/>
      <c r="F768" s="86" t="s">
        <v>3409</v>
      </c>
      <c r="H768" s="11" t="s">
        <v>3212</v>
      </c>
      <c r="I768" s="90" t="str">
        <f>IF(cst_shinsei_STRUCTRESULT_NOTIFY_KOUFU_NAME="","－",cst_shinsei_STRUCTRESULT_NOTIFY_DATE)</f>
        <v>－</v>
      </c>
      <c r="J768" s="308"/>
    </row>
    <row r="769" spans="1:10" s="55" customFormat="1" ht="12.75" customHeight="1">
      <c r="A769" s="86"/>
      <c r="B769" s="86"/>
      <c r="C769" s="13" t="s">
        <v>3213</v>
      </c>
      <c r="D769" s="86"/>
      <c r="E769" s="86"/>
      <c r="F769" s="86" t="s">
        <v>3409</v>
      </c>
      <c r="J769" s="308"/>
    </row>
    <row r="770" spans="1:10" s="55" customFormat="1" ht="12.75" customHeight="1">
      <c r="A770" s="86"/>
      <c r="B770" s="86"/>
      <c r="C770" s="13"/>
      <c r="D770" s="86" t="s">
        <v>2080</v>
      </c>
      <c r="E770" s="86"/>
      <c r="F770" s="86" t="s">
        <v>3409</v>
      </c>
      <c r="H770" s="11" t="s">
        <v>3214</v>
      </c>
      <c r="I770" s="58">
        <f>IF(cst_shinsei_STRUCTRESULT_NOTIFY_KOUFU_NAME="","",cst_shinsei_STRUCTRESULT_NOTIFY_NO)</f>
      </c>
      <c r="J770" s="308"/>
    </row>
    <row r="771" spans="1:10" s="55" customFormat="1" ht="12.75" customHeight="1">
      <c r="A771" s="86"/>
      <c r="B771" s="86"/>
      <c r="C771" s="13"/>
      <c r="D771" s="86" t="s">
        <v>2089</v>
      </c>
      <c r="E771" s="86"/>
      <c r="F771" s="86" t="s">
        <v>3409</v>
      </c>
      <c r="H771" s="11" t="s">
        <v>3229</v>
      </c>
      <c r="I771" s="58">
        <f>IF(cst_shinsei_STRUCTRESULT_NOTIFY_KOUFU_NAME="","",IF(_button_kind="交付",IF(shinsei_STRUCTRESULT_NOTIFY_NO="",IF(shinsei_STRIRAI_TEKIHAN_ACCEPT_NO="","",shinsei_STRIRAI_TEKIHAN_ACCEPT_NO),shinsei_STRUCTRESULT_NOTIFY_NO),IF(cst__button_kind="","",IF(cst_shinsei_xx_STRUCT_NOTIFT_DATE="","",IF(cst_shinsei_xx_STRUCT_NOTIFT_NO="",IF(shinsei_STRUCTRESULT_NOTIFY_NO="",IF(shinsei_STRIRAI_TEKIHAN_ACCEPT_NO="","",shinsei_STRIRAI_TEKIHAN_ACCEPT_NO),shinsei_STRUCTRESULT_NOTIFY_NO),cst_shinsei_xx_STRUCT_NOTIFT_NO)))))</f>
      </c>
      <c r="J771" s="308"/>
    </row>
    <row r="772" spans="1:10" s="55" customFormat="1" ht="12.75" customHeight="1">
      <c r="A772" s="86"/>
      <c r="B772" s="86"/>
      <c r="C772" s="13"/>
      <c r="D772" s="86"/>
      <c r="E772" s="86" t="s">
        <v>2801</v>
      </c>
      <c r="F772" s="86" t="s">
        <v>3409</v>
      </c>
      <c r="H772" s="11" t="s">
        <v>2655</v>
      </c>
      <c r="I772" s="62" t="str">
        <f>IF(cst_shinsei_STRUCTRESULT_NOTIFY_KOUFU_NAME="","－",IF(_button_kind="交付",IF(shinsei_STRUCTRESULT_NOTIFY_NO="",IF(shinsei_STRIRAI_TEKIHAN_ACCEPT_NO="","",shinsei_STRIRAI_TEKIHAN_ACCEPT_NO),shinsei_STRUCTRESULT_NOTIFY_NO),IF(cst__button_kind="","",IF(cst_shinsei_xx_STRUCT_NOTIFT_DATE="","",IF(cst_shinsei_xx_STRUCT_NOTIFT_NO="",IF(shinsei_STRUCTRESULT_NOTIFY_NO="",IF(shinsei_STRIRAI_TEKIHAN_ACCEPT_NO="","",shinsei_STRIRAI_TEKIHAN_ACCEPT_NO),shinsei_STRUCTRESULT_NOTIFY_NO),cst_shinsei_xx_STRUCT_NOTIFT_NO)))))</f>
        <v>－</v>
      </c>
      <c r="J772" s="62">
        <f>IF(cst_shinsei_STRUCTRESULT_NOTIFY_KOUFU_NAME="","",IF(_button_kind="交付",IF(shinsei_STRUCTRESULT_NOTIFY_NO="",IF(shinsei_STRIRAI_TEKIHAN_ACCEPT_NO="","","第"&amp;shinsei_STRIRAI_TEKIHAN_ACCEPT_NO&amp;"号"),"第"&amp;shinsei_STRUCTRESULT_NOTIFY_NO&amp;"号"),IF(cst__button_kind="","",IF(cst_shinsei_xx_STRUCT_NOTIFT_DATE="","",IF(cst_shinsei_xx_STRUCT_NOTIFT_NO="",IF(shinsei_STRUCTRESULT_NOTIFY_NO="",IF(shinsei_STRIRAI_TEKIHAN_ACCEPT_NO="","","第"&amp;shinsei_STRIRAI_TEKIHAN_ACCEPT_NO&amp;"号"),"第"&amp;shinsei_STRUCTRESULT_NOTIFY_NO&amp;"号"),"第"&amp;cst_shinsei_xx_STRUCT_NOTIFT_NO&amp;"号")))))</f>
      </c>
    </row>
    <row r="773" spans="1:9" s="11" customFormat="1" ht="12.75" customHeight="1">
      <c r="A773" s="52"/>
      <c r="B773" s="52"/>
      <c r="C773" s="13" t="s">
        <v>3215</v>
      </c>
      <c r="D773" s="13"/>
      <c r="E773" s="13"/>
      <c r="F773" s="52" t="s">
        <v>3409</v>
      </c>
      <c r="H773" s="11" t="s">
        <v>2320</v>
      </c>
      <c r="I773" s="58" t="str">
        <f>IF(cst_shinsei_STRUCTRESULT_NOTIFY_KOUFU_NAME="","－",cst_JUDGE_OFFICE_CORP_DAIHYOUSHA__HOUKOKU_code)</f>
        <v>－</v>
      </c>
    </row>
    <row r="774" spans="1:12" s="55" customFormat="1" ht="12.75" customHeight="1">
      <c r="A774" s="86"/>
      <c r="B774" s="86"/>
      <c r="C774" s="13" t="s">
        <v>1399</v>
      </c>
      <c r="D774" s="86"/>
      <c r="E774" s="86"/>
      <c r="F774" s="86" t="s">
        <v>3409</v>
      </c>
      <c r="H774" s="11" t="s">
        <v>1400</v>
      </c>
      <c r="I774" s="62">
        <f>IF(cst_shinsei_STRUCTRESULT_NOTIFY_KOUFU_NAME="","",IF(_button_kind="交付","適正に行われたものであると判定する",IF(cst__button_kind="","",IF(cst_shinsei_xx_STRUCT_NOTIFT_DATE="","",IF(_button_kind="ng","適正に行われたものであると判定しない","適合するかどうかを決定することができない")))))</f>
      </c>
      <c r="J774" s="309"/>
      <c r="K774" s="84"/>
      <c r="L774" s="84"/>
    </row>
    <row r="775" ht="12.75" customHeight="1">
      <c r="F775" s="318" t="s">
        <v>3409</v>
      </c>
    </row>
    <row r="776" spans="1:9" s="11" customFormat="1" ht="12.75" customHeight="1">
      <c r="A776" s="52"/>
      <c r="B776" s="52" t="s">
        <v>326</v>
      </c>
      <c r="C776" s="52"/>
      <c r="D776" s="13"/>
      <c r="E776" s="52"/>
      <c r="F776" s="52" t="s">
        <v>3409</v>
      </c>
      <c r="I776" s="101"/>
    </row>
    <row r="777" spans="1:12" s="11" customFormat="1" ht="12.75" customHeight="1">
      <c r="A777" s="52"/>
      <c r="B777" s="13"/>
      <c r="C777" s="13" t="s">
        <v>327</v>
      </c>
      <c r="D777" s="13"/>
      <c r="E777" s="13"/>
      <c r="F777" s="13" t="s">
        <v>3409</v>
      </c>
      <c r="G777" s="12"/>
      <c r="H777" s="12" t="s">
        <v>329</v>
      </c>
      <c r="I777" s="62" t="str">
        <f>IF(AND(OR(shinsei_INSPECTION_TYPE="中間検査",shinsei_INSPECTION_TYPE="完了検査"),_button_kind="交付"),cst_shinsei_ISSUE_NO__disp,cst_DISP__sign)</f>
        <v>第          号</v>
      </c>
      <c r="K777" s="101"/>
      <c r="L777" s="101"/>
    </row>
    <row r="778" spans="1:12" s="11" customFormat="1" ht="12.75" customHeight="1">
      <c r="A778" s="52"/>
      <c r="B778" s="13"/>
      <c r="C778" s="13"/>
      <c r="D778" s="13"/>
      <c r="E778" s="13"/>
      <c r="F778" s="13" t="s">
        <v>3409</v>
      </c>
      <c r="G778" s="12"/>
      <c r="K778" s="101"/>
      <c r="L778" s="101"/>
    </row>
    <row r="779" spans="1:12" s="11" customFormat="1" ht="12.75" customHeight="1">
      <c r="A779" s="52"/>
      <c r="B779" s="52" t="s">
        <v>328</v>
      </c>
      <c r="C779" s="52"/>
      <c r="D779" s="52"/>
      <c r="E779" s="13"/>
      <c r="F779" s="13" t="s">
        <v>3409</v>
      </c>
      <c r="K779" s="101"/>
      <c r="L779" s="101"/>
    </row>
    <row r="780" spans="1:12" s="11" customFormat="1" ht="12.75" customHeight="1">
      <c r="A780" s="52"/>
      <c r="B780" s="13"/>
      <c r="C780" s="13" t="s">
        <v>327</v>
      </c>
      <c r="D780" s="13"/>
      <c r="E780" s="13"/>
      <c r="F780" s="13" t="s">
        <v>3409</v>
      </c>
      <c r="G780" s="12"/>
      <c r="H780" s="12" t="s">
        <v>330</v>
      </c>
      <c r="I780" s="131" t="str">
        <f>IF(AND(OR(shinsei_INSPECTION_TYPE="中間検査",shinsei_INSPECTION_TYPE="完了検査"),_button_kind="交付"),cst_shinsei_ISSUE_DATE__disp,cst_DISP__date)</f>
        <v>平成    年    月    日</v>
      </c>
      <c r="K780" s="101"/>
      <c r="L780" s="101"/>
    </row>
    <row r="781" spans="1:9" s="11" customFormat="1" ht="12.75" customHeight="1">
      <c r="A781" s="13"/>
      <c r="B781" s="13"/>
      <c r="C781" s="13"/>
      <c r="D781" s="13"/>
      <c r="E781" s="13"/>
      <c r="F781" s="52" t="s">
        <v>3409</v>
      </c>
      <c r="I781" s="101"/>
    </row>
    <row r="782" ht="12.75" customHeight="1">
      <c r="F782" s="318" t="s">
        <v>3409</v>
      </c>
    </row>
    <row r="783" spans="1:7" s="50" customFormat="1" ht="12.75" customHeight="1">
      <c r="A783" s="59" t="s">
        <v>2968</v>
      </c>
      <c r="B783" s="59"/>
      <c r="C783" s="59"/>
      <c r="D783" s="59"/>
      <c r="E783" s="51"/>
      <c r="F783" s="51" t="s">
        <v>3409</v>
      </c>
      <c r="G783" s="12"/>
    </row>
    <row r="784" spans="1:9" s="11" customFormat="1" ht="12.75" customHeight="1">
      <c r="A784" s="52"/>
      <c r="B784" s="52"/>
      <c r="C784" s="13"/>
      <c r="D784" s="13"/>
      <c r="E784" s="13"/>
      <c r="F784" s="52" t="s">
        <v>3409</v>
      </c>
      <c r="I784" s="101"/>
    </row>
    <row r="785" spans="1:8" s="11" customFormat="1" ht="12.75" customHeight="1">
      <c r="A785" s="13" t="s">
        <v>1403</v>
      </c>
      <c r="B785" s="13"/>
      <c r="C785" s="13"/>
      <c r="D785" s="13"/>
      <c r="E785" s="13"/>
      <c r="F785" s="13" t="s">
        <v>3409</v>
      </c>
      <c r="G785" s="12"/>
      <c r="H785" s="12"/>
    </row>
    <row r="786" spans="1:7" s="50" customFormat="1" ht="12.75" customHeight="1">
      <c r="A786" s="49" t="s">
        <v>1404</v>
      </c>
      <c r="B786" s="49"/>
      <c r="C786" s="49"/>
      <c r="D786" s="49"/>
      <c r="E786" s="49"/>
      <c r="F786" s="49" t="s">
        <v>3409</v>
      </c>
      <c r="G786" s="4"/>
    </row>
    <row r="787" spans="1:7" s="50" customFormat="1" ht="12.75" customHeight="1">
      <c r="A787" s="49"/>
      <c r="B787" s="49" t="s">
        <v>1405</v>
      </c>
      <c r="C787" s="49"/>
      <c r="D787" s="49"/>
      <c r="E787" s="49"/>
      <c r="F787" s="49" t="s">
        <v>3409</v>
      </c>
      <c r="G787" s="4"/>
    </row>
    <row r="788" spans="1:10" s="50" customFormat="1" ht="12.75" customHeight="1">
      <c r="A788" s="60"/>
      <c r="B788" s="49" t="s">
        <v>1406</v>
      </c>
      <c r="C788" s="49"/>
      <c r="D788" s="49"/>
      <c r="E788" s="49"/>
      <c r="F788" s="13" t="s">
        <v>3839</v>
      </c>
      <c r="G788" s="14" t="s">
        <v>3409</v>
      </c>
      <c r="H788" s="12" t="s">
        <v>1240</v>
      </c>
      <c r="I788" s="18">
        <f>IF(p2_shinsei_KAKUNINZUMI_KENSAIN="","",p2_shinsei_KAKUNINZUMI_KENSAIN)</f>
      </c>
      <c r="J788" s="50" t="s">
        <v>1241</v>
      </c>
    </row>
    <row r="789" spans="1:26" s="50" customFormat="1" ht="12.75" customHeight="1">
      <c r="A789" s="60"/>
      <c r="B789" s="49" t="s">
        <v>1138</v>
      </c>
      <c r="C789" s="49"/>
      <c r="D789" s="49"/>
      <c r="E789" s="49"/>
      <c r="F789" s="13" t="s">
        <v>3840</v>
      </c>
      <c r="G789" s="14" t="s">
        <v>3409</v>
      </c>
      <c r="H789" s="12" t="s">
        <v>254</v>
      </c>
      <c r="I789" s="58">
        <f>IF(p2_shinsei_ISSUE_NO="","",p2_shinsei_ISSUE_NO)</f>
      </c>
      <c r="J789" s="50" t="s">
        <v>1241</v>
      </c>
      <c r="N789" s="93"/>
      <c r="O789" s="93"/>
      <c r="P789" s="93"/>
      <c r="Q789" s="93"/>
      <c r="R789" s="93"/>
      <c r="Y789" s="61"/>
      <c r="Z789" s="61"/>
    </row>
    <row r="790" spans="1:26" s="50" customFormat="1" ht="12.75" customHeight="1">
      <c r="A790" s="60"/>
      <c r="B790" s="49"/>
      <c r="C790" s="60"/>
      <c r="D790" s="60"/>
      <c r="E790" s="60"/>
      <c r="F790" s="13" t="s">
        <v>3409</v>
      </c>
      <c r="G790" s="12"/>
      <c r="H790" s="12" t="s">
        <v>2464</v>
      </c>
      <c r="I790" s="56" t="str">
        <f>IF(p2_shinsei_ISSUE_NO="","第                    号","第"&amp;p2_shinsei_ISSUE_NO&amp;"号")</f>
        <v>第                    号</v>
      </c>
      <c r="K790" s="50" t="s">
        <v>255</v>
      </c>
      <c r="N790" s="93"/>
      <c r="O790" s="93"/>
      <c r="P790" s="93"/>
      <c r="Q790" s="93"/>
      <c r="R790" s="93"/>
      <c r="Y790" s="61"/>
      <c r="Z790" s="61"/>
    </row>
    <row r="791" spans="1:28" s="50" customFormat="1" ht="12.75" customHeight="1">
      <c r="A791" s="60"/>
      <c r="B791" s="49" t="s">
        <v>1140</v>
      </c>
      <c r="C791" s="49"/>
      <c r="D791" s="49"/>
      <c r="E791" s="49"/>
      <c r="F791" s="13" t="s">
        <v>3841</v>
      </c>
      <c r="G791" s="96"/>
      <c r="H791" s="12" t="s">
        <v>256</v>
      </c>
      <c r="I791" s="85">
        <f>IF(p2_shinsei_ISSUE_DATE="","",p2_shinsei_ISSUE_DATE)</f>
      </c>
      <c r="J791" s="61" t="s">
        <v>257</v>
      </c>
      <c r="N791" s="93"/>
      <c r="O791" s="93"/>
      <c r="P791" s="93"/>
      <c r="Q791" s="93"/>
      <c r="R791" s="93"/>
      <c r="Y791" s="61"/>
      <c r="Z791" s="61"/>
      <c r="AB791" s="61"/>
    </row>
    <row r="792" spans="1:28" s="50" customFormat="1" ht="12.75" customHeight="1">
      <c r="A792" s="60"/>
      <c r="B792" s="49"/>
      <c r="C792" s="49"/>
      <c r="D792" s="49"/>
      <c r="E792" s="49"/>
      <c r="F792" s="52" t="s">
        <v>3409</v>
      </c>
      <c r="G792" s="11"/>
      <c r="H792" s="12" t="s">
        <v>2463</v>
      </c>
      <c r="I792" s="45" t="str">
        <f>IF(p2_shinsei_ISSUE_DATE="",cst_DISP__date,p2_shinsei_ISSUE_DATE)</f>
        <v>平成    年    月    日</v>
      </c>
      <c r="J792" s="61"/>
      <c r="K792" s="61" t="s">
        <v>1448</v>
      </c>
      <c r="N792" s="93"/>
      <c r="O792" s="93"/>
      <c r="P792" s="93"/>
      <c r="Q792" s="93"/>
      <c r="R792" s="93"/>
      <c r="Y792" s="61"/>
      <c r="Z792" s="61"/>
      <c r="AB792" s="61"/>
    </row>
    <row r="793" spans="1:26" s="50" customFormat="1" ht="12.75" customHeight="1">
      <c r="A793" s="60"/>
      <c r="B793" s="60"/>
      <c r="C793" s="60"/>
      <c r="D793" s="13"/>
      <c r="E793" s="13"/>
      <c r="F793" s="13" t="s">
        <v>3409</v>
      </c>
      <c r="G793" s="94"/>
      <c r="H793" s="61"/>
      <c r="I793" s="61"/>
      <c r="L793" s="93"/>
      <c r="M793" s="93"/>
      <c r="N793" s="93"/>
      <c r="O793" s="93"/>
      <c r="P793" s="93"/>
      <c r="W793" s="61"/>
      <c r="X793" s="61"/>
      <c r="Z793" s="61"/>
    </row>
    <row r="794" spans="1:9" s="50" customFormat="1" ht="12.75" customHeight="1">
      <c r="A794" s="60" t="s">
        <v>1449</v>
      </c>
      <c r="B794" s="49"/>
      <c r="C794" s="49"/>
      <c r="D794" s="49"/>
      <c r="E794" s="49"/>
      <c r="F794" s="49" t="s">
        <v>3409</v>
      </c>
      <c r="G794" s="4"/>
      <c r="H794" s="15"/>
      <c r="I794" s="4"/>
    </row>
    <row r="795" spans="1:9" s="50" customFormat="1" ht="12.75" customHeight="1">
      <c r="A795" s="60"/>
      <c r="B795" s="49" t="s">
        <v>2261</v>
      </c>
      <c r="C795" s="49"/>
      <c r="D795" s="49"/>
      <c r="E795" s="49"/>
      <c r="F795" s="49" t="s">
        <v>3409</v>
      </c>
      <c r="G795" s="4"/>
      <c r="H795" s="15"/>
      <c r="I795" s="4"/>
    </row>
    <row r="796" spans="1:10" s="50" customFormat="1" ht="12.75" customHeight="1">
      <c r="A796" s="60"/>
      <c r="B796" s="49" t="s">
        <v>2262</v>
      </c>
      <c r="C796" s="60"/>
      <c r="D796" s="49"/>
      <c r="E796" s="49"/>
      <c r="F796" s="13" t="s">
        <v>3842</v>
      </c>
      <c r="G796" s="14" t="s">
        <v>3409</v>
      </c>
      <c r="H796" s="12" t="s">
        <v>258</v>
      </c>
      <c r="I796" s="18">
        <f>IF(p2_shinsei_HEN_SUMI_KOUFU_NAME="","",p2_shinsei_HEN_SUMI_KOUFU_NAME)</f>
      </c>
      <c r="J796" s="50" t="s">
        <v>1241</v>
      </c>
    </row>
    <row r="797" spans="1:26" s="50" customFormat="1" ht="12.75" customHeight="1">
      <c r="A797" s="60"/>
      <c r="B797" s="49" t="s">
        <v>2263</v>
      </c>
      <c r="C797" s="60"/>
      <c r="D797" s="49"/>
      <c r="E797" s="49"/>
      <c r="F797" s="13" t="s">
        <v>3843</v>
      </c>
      <c r="G797" s="14" t="s">
        <v>3409</v>
      </c>
      <c r="H797" s="12" t="s">
        <v>259</v>
      </c>
      <c r="I797" s="58">
        <f>IF(p2_shinsei_HEN_SUMI_NO="","",p2_shinsei_HEN_SUMI_NO)</f>
      </c>
      <c r="J797" s="50" t="s">
        <v>1241</v>
      </c>
      <c r="N797" s="93"/>
      <c r="O797" s="93"/>
      <c r="P797" s="93"/>
      <c r="Q797" s="93"/>
      <c r="R797" s="93"/>
      <c r="Y797" s="61"/>
      <c r="Z797" s="61"/>
    </row>
    <row r="798" spans="1:26" s="50" customFormat="1" ht="12.75" customHeight="1">
      <c r="A798" s="60"/>
      <c r="B798" s="49"/>
      <c r="C798" s="60" t="s">
        <v>1139</v>
      </c>
      <c r="D798" s="49"/>
      <c r="E798" s="49"/>
      <c r="F798" s="13" t="s">
        <v>3409</v>
      </c>
      <c r="G798" s="12"/>
      <c r="H798" s="12" t="s">
        <v>260</v>
      </c>
      <c r="I798" s="56">
        <f>IF(p2_shinsei_HEN_SUMI_NO="","",p2_shinsei_HEN_SUMI_NO)</f>
      </c>
      <c r="K798" s="50" t="s">
        <v>3019</v>
      </c>
      <c r="N798" s="93"/>
      <c r="O798" s="93"/>
      <c r="P798" s="93"/>
      <c r="Q798" s="93"/>
      <c r="R798" s="93"/>
      <c r="Y798" s="61"/>
      <c r="Z798" s="61"/>
    </row>
    <row r="799" spans="1:28" s="50" customFormat="1" ht="12.75" customHeight="1">
      <c r="A799" s="60"/>
      <c r="B799" s="49" t="s">
        <v>1140</v>
      </c>
      <c r="C799" s="60"/>
      <c r="D799" s="49"/>
      <c r="E799" s="49"/>
      <c r="F799" s="13" t="s">
        <v>3844</v>
      </c>
      <c r="G799" s="96"/>
      <c r="H799" s="12" t="s">
        <v>261</v>
      </c>
      <c r="I799" s="85">
        <f>IF(p2_shinsei_HEN_SUMI_KOUFU_DATE="","",p2_shinsei_HEN_SUMI_KOUFU_DATE)</f>
      </c>
      <c r="J799" s="61" t="s">
        <v>257</v>
      </c>
      <c r="N799" s="93"/>
      <c r="O799" s="93"/>
      <c r="P799" s="93"/>
      <c r="Q799" s="93"/>
      <c r="R799" s="93"/>
      <c r="Y799" s="61"/>
      <c r="Z799" s="61"/>
      <c r="AB799" s="61"/>
    </row>
    <row r="800" spans="1:28" s="50" customFormat="1" ht="12.75" customHeight="1">
      <c r="A800" s="60"/>
      <c r="B800" s="49"/>
      <c r="C800" s="49"/>
      <c r="D800" s="49"/>
      <c r="E800" s="49"/>
      <c r="F800" s="13" t="s">
        <v>3409</v>
      </c>
      <c r="G800" s="12"/>
      <c r="H800" s="12" t="s">
        <v>262</v>
      </c>
      <c r="I800" s="45" t="str">
        <f>IF(p2_shinsei_HEN_SUMI_KOUFU_DATE="",cst_DISP__date_ee,p2_shinsei_HEN_SUMI_KOUFU_DATE)</f>
        <v>　　    年    月    日</v>
      </c>
      <c r="J800" s="61" t="s">
        <v>1139</v>
      </c>
      <c r="K800" s="50" t="s">
        <v>2264</v>
      </c>
      <c r="N800" s="93"/>
      <c r="O800" s="93"/>
      <c r="P800" s="93"/>
      <c r="Q800" s="93"/>
      <c r="R800" s="93"/>
      <c r="Y800" s="61"/>
      <c r="Z800" s="61"/>
      <c r="AB800" s="61"/>
    </row>
    <row r="801" spans="1:28" s="50" customFormat="1" ht="12.75" customHeight="1">
      <c r="A801" s="60"/>
      <c r="B801" s="49"/>
      <c r="C801" s="49"/>
      <c r="D801" s="49"/>
      <c r="E801" s="49"/>
      <c r="F801" s="13" t="s">
        <v>3409</v>
      </c>
      <c r="G801" s="12"/>
      <c r="H801" s="12" t="s">
        <v>68</v>
      </c>
      <c r="I801" s="45" t="str">
        <f>IF(p2_shinsei_HEN_SUMI_KOUFU_DATE="",cst_DISP__date,p2_shinsei_HEN_SUMI_KOUFU_DATE)</f>
        <v>平成    年    月    日</v>
      </c>
      <c r="J801" s="61"/>
      <c r="K801" s="61" t="s">
        <v>1448</v>
      </c>
      <c r="N801" s="93"/>
      <c r="O801" s="93"/>
      <c r="P801" s="93"/>
      <c r="Q801" s="93"/>
      <c r="R801" s="93"/>
      <c r="Y801" s="61"/>
      <c r="Z801" s="61"/>
      <c r="AB801" s="61"/>
    </row>
    <row r="802" spans="1:26" s="50" customFormat="1" ht="12.75" customHeight="1">
      <c r="A802" s="60"/>
      <c r="B802" s="60"/>
      <c r="C802" s="60"/>
      <c r="D802" s="13"/>
      <c r="E802" s="13"/>
      <c r="F802" s="13" t="s">
        <v>3409</v>
      </c>
      <c r="G802" s="94"/>
      <c r="H802" s="61"/>
      <c r="I802" s="61"/>
      <c r="L802" s="93"/>
      <c r="M802" s="93"/>
      <c r="N802" s="93"/>
      <c r="O802" s="93"/>
      <c r="P802" s="93"/>
      <c r="W802" s="61"/>
      <c r="X802" s="61"/>
      <c r="Z802" s="61"/>
    </row>
    <row r="803" spans="2:9" ht="12.75" customHeight="1">
      <c r="B803" s="49" t="s">
        <v>1393</v>
      </c>
      <c r="F803" s="318" t="s">
        <v>3409</v>
      </c>
      <c r="H803" s="12" t="s">
        <v>1394</v>
      </c>
      <c r="I803" s="240">
        <f>IF(shinsei_INSPECTION_TYPE="計画変更","第"&amp;cst_p2_shinsei_ISSUE_NO&amp;"号","")</f>
      </c>
    </row>
    <row r="804" ht="12.75" customHeight="1">
      <c r="F804" s="318" t="s">
        <v>3409</v>
      </c>
    </row>
    <row r="805" spans="2:9" s="388" customFormat="1" ht="12.75" customHeight="1">
      <c r="B805" s="388" t="s">
        <v>1524</v>
      </c>
      <c r="H805" s="388" t="s">
        <v>1525</v>
      </c>
      <c r="I805" s="389">
        <f>cst__button_kind</f>
      </c>
    </row>
    <row r="806" s="388" customFormat="1" ht="12.75" customHeight="1"/>
    <row r="807" spans="2:9" s="388" customFormat="1" ht="12.75" customHeight="1">
      <c r="B807" s="388" t="s">
        <v>1526</v>
      </c>
      <c r="H807" s="388" t="s">
        <v>1527</v>
      </c>
      <c r="I807" s="390" t="str">
        <f>IF(_button_kind="hosei","shinsei_","cst_shinsei_")</f>
        <v>cst_shinsei_</v>
      </c>
    </row>
    <row r="808" spans="2:9" s="388" customFormat="1" ht="12.75" customHeight="1">
      <c r="B808" s="388" t="s">
        <v>1528</v>
      </c>
      <c r="F808" s="4"/>
      <c r="H808" s="388" t="s">
        <v>83</v>
      </c>
      <c r="I808" s="390" t="str">
        <f>IF(_button_kind="hosei","","_NOTIFY")</f>
        <v>_NOTIFY</v>
      </c>
    </row>
    <row r="809" spans="2:9" s="388" customFormat="1" ht="12.75" customHeight="1">
      <c r="B809" s="388" t="s">
        <v>84</v>
      </c>
      <c r="F809" s="4"/>
      <c r="H809" s="388" t="s">
        <v>85</v>
      </c>
      <c r="I809" s="390" t="str">
        <f>IF(_button_kind="hosei","_STRUCTNOTIFT","_STRUCT")</f>
        <v>_STRUCT</v>
      </c>
    </row>
    <row r="810" s="388" customFormat="1" ht="12.75" customHeight="1">
      <c r="F810" s="4"/>
    </row>
    <row r="811" s="388" customFormat="1" ht="12.75" customHeight="1">
      <c r="F811" s="4"/>
    </row>
    <row r="812" spans="2:14" s="388" customFormat="1" ht="12.75" customHeight="1">
      <c r="B812" s="388" t="s">
        <v>86</v>
      </c>
      <c r="K812" s="391" t="s">
        <v>87</v>
      </c>
      <c r="L812" s="391" t="s">
        <v>88</v>
      </c>
      <c r="M812" s="391" t="s">
        <v>87</v>
      </c>
      <c r="N812" s="391" t="s">
        <v>88</v>
      </c>
    </row>
    <row r="813" spans="3:14" s="388" customFormat="1" ht="12.75" customHeight="1">
      <c r="C813" s="13" t="s">
        <v>538</v>
      </c>
      <c r="H813" s="12" t="s">
        <v>89</v>
      </c>
      <c r="I813" s="385">
        <f ca="1">IF(cst__button_kind="","",IF(ISERROR(INDIRECT(cst_shinsei_ctrl&amp;cst__button_kind&amp;"_NOTIFY_DATE")),"",IF(INDIRECT(cst_shinsei_ctrl&amp;cst__button_kind&amp;"_NOTIFY_DATE")="","",INDIRECT(cst_shinsei_ctrl&amp;cst__button_kind&amp;"_NOTIFY_DATE"))))</f>
      </c>
      <c r="K813" s="391" t="s">
        <v>90</v>
      </c>
      <c r="L813" s="391" t="s">
        <v>90</v>
      </c>
      <c r="M813" s="391" t="s">
        <v>90</v>
      </c>
      <c r="N813" s="391" t="s">
        <v>90</v>
      </c>
    </row>
    <row r="814" spans="3:14" s="388" customFormat="1" ht="12.75" customHeight="1">
      <c r="C814" s="383" t="s">
        <v>1047</v>
      </c>
      <c r="H814" s="383" t="s">
        <v>2014</v>
      </c>
      <c r="I814" s="295">
        <f ca="1">IF(cst__button_kind="","",IF(ISERROR(INDIRECT(cst_shinsei_ctrl&amp;cst__button_kind&amp;"_KENSAIN_USER_ID")),"",IF(INDIRECT(cst_shinsei_ctrl&amp;cst__button_kind&amp;"_KENSAIN_USER_ID")="","",INDIRECT(cst_shinsei_ctrl&amp;cst__button_kind&amp;"_KENSAIN_USER_ID"))))</f>
      </c>
      <c r="K814" s="391"/>
      <c r="L814" s="391" t="s">
        <v>90</v>
      </c>
      <c r="M814" s="391"/>
      <c r="N814" s="391" t="s">
        <v>90</v>
      </c>
    </row>
    <row r="815" spans="3:13" s="388" customFormat="1" ht="12.75" customHeight="1">
      <c r="C815" s="13" t="s">
        <v>876</v>
      </c>
      <c r="H815" s="12" t="s">
        <v>2002</v>
      </c>
      <c r="I815" s="88">
        <f ca="1">IF(cst__button_kind="","",IF(ISERROR(INDIRECT(cst_shinsei_ctrl&amp;cst__button_kind&amp;"_NOTIFY_USER")),"",IF(INDIRECT(cst_shinsei_ctrl&amp;cst__button_kind&amp;"_NOTIFY_USER")="","",INDIRECT(cst_shinsei_ctrl&amp;cst__button_kind&amp;"_NOTIFY_USER"))))</f>
      </c>
      <c r="K815" s="391" t="s">
        <v>90</v>
      </c>
      <c r="L815" s="391"/>
      <c r="M815" s="391" t="s">
        <v>90</v>
      </c>
    </row>
    <row r="816" spans="3:13" s="388" customFormat="1" ht="12.75" customHeight="1">
      <c r="C816" s="13" t="s">
        <v>91</v>
      </c>
      <c r="H816" s="12" t="s">
        <v>92</v>
      </c>
      <c r="I816" s="385">
        <f ca="1">IF(cst__button_kind="","",IF(ISERROR(INDIRECT(cst_shinsei_ctrl&amp;cst__button_kind&amp;"_NOTIFY_KENSA_DATE")),"",IF(INDIRECT(cst_shinsei_ctrl&amp;cst__button_kind&amp;"_NOTIFY_KENSA_DATE")="","",INDIRECT(cst_shinsei_ctrl&amp;cst__button_kind&amp;"_NOTIFY_KENSA_DATE"))))</f>
      </c>
      <c r="K816" s="391" t="s">
        <v>1991</v>
      </c>
      <c r="L816" s="391"/>
      <c r="M816" s="391" t="s">
        <v>1991</v>
      </c>
    </row>
    <row r="817" spans="3:14" s="388" customFormat="1" ht="12.75" customHeight="1">
      <c r="C817" s="13" t="s">
        <v>542</v>
      </c>
      <c r="H817" s="12" t="s">
        <v>1992</v>
      </c>
      <c r="I817" s="385">
        <f ca="1">IF(cst__button_kind="","",IF(ISERROR(INDIRECT(cst_shinsei_ctrl&amp;cst__button_kind&amp;cst_NOTIFY_ctrl&amp;"_LIMIT_DATE")),"",IF(INDIRECT(cst_shinsei_ctrl&amp;cst__button_kind&amp;cst_NOTIFY_ctrl&amp;"_LIMIT_DATE")="","",INDIRECT(cst_shinsei_ctrl&amp;cst__button_kind&amp;cst_NOTIFY_ctrl&amp;"_LIMIT_DATE"))))</f>
      </c>
      <c r="K817" s="391" t="s">
        <v>90</v>
      </c>
      <c r="L817" s="391" t="s">
        <v>90</v>
      </c>
      <c r="M817" s="391" t="s">
        <v>90</v>
      </c>
      <c r="N817" s="391" t="s">
        <v>90</v>
      </c>
    </row>
    <row r="818" spans="3:13" s="388" customFormat="1" ht="12.75" customHeight="1">
      <c r="C818" s="383" t="s">
        <v>1049</v>
      </c>
      <c r="H818" s="383" t="s">
        <v>2003</v>
      </c>
      <c r="I818" s="385">
        <f ca="1">IF(cst__button_kind="","",IF(ISERROR(INDIRECT(cst_shinsei_ctrl&amp;cst__button_kind&amp;cst_NOTIFY_ctrl&amp;"_ANSWER_DATE")),"",IF(INDIRECT(cst_shinsei_ctrl&amp;cst__button_kind&amp;cst_NOTIFY_ctrl&amp;"_ANSWER_DATE")="","",INDIRECT(cst_shinsei_ctrl&amp;cst__button_kind&amp;cst_NOTIFY_ctrl&amp;"_ANSWER_DATE"))))</f>
      </c>
      <c r="K818" s="391" t="s">
        <v>90</v>
      </c>
      <c r="L818" s="391" t="s">
        <v>90</v>
      </c>
      <c r="M818" s="391"/>
    </row>
    <row r="819" spans="3:13" s="388" customFormat="1" ht="12.75" customHeight="1">
      <c r="C819" s="13" t="s">
        <v>2650</v>
      </c>
      <c r="H819" s="12" t="s">
        <v>2004</v>
      </c>
      <c r="I819" s="88">
        <f ca="1">IF(cst__button_kind="","",IF(ISERROR(INDIRECT(cst_shinsei_ctrl&amp;cst__button_kind&amp;"_NOTIFY_CAUSE")),"",IF(INDIRECT(cst_shinsei_ctrl&amp;cst__button_kind&amp;"_NOTIFY_CAUSE")="","",INDIRECT(cst_shinsei_ctrl&amp;cst__button_kind&amp;"_NOTIFY_CAUSE"))))</f>
      </c>
      <c r="K819" s="391" t="s">
        <v>90</v>
      </c>
      <c r="L819" s="391"/>
      <c r="M819" s="391" t="s">
        <v>90</v>
      </c>
    </row>
    <row r="820" spans="3:13" s="388" customFormat="1" ht="12.75" customHeight="1">
      <c r="C820" s="13" t="s">
        <v>545</v>
      </c>
      <c r="H820" s="12" t="s">
        <v>2005</v>
      </c>
      <c r="I820" s="7">
        <f ca="1">IF(cst__button_kind="","",IF(ISERROR(INDIRECT(cst_shinsei_ctrl&amp;cst__button_kind&amp;"_NOTIFY_NOTE")),"",IF(INDIRECT(cst_shinsei_ctrl&amp;cst__button_kind&amp;"_NOTIFY_NOTE")="","",INDIRECT(cst_shinsei_ctrl&amp;cst__button_kind&amp;"_NOTIFY_NOTE"))))</f>
      </c>
      <c r="K820" s="391" t="s">
        <v>90</v>
      </c>
      <c r="L820" s="391" t="s">
        <v>90</v>
      </c>
      <c r="M820" s="391" t="s">
        <v>90</v>
      </c>
    </row>
    <row r="821" spans="3:13" s="388" customFormat="1" ht="12.75" customHeight="1">
      <c r="C821" s="12" t="s">
        <v>1050</v>
      </c>
      <c r="D821" s="12"/>
      <c r="H821" s="12" t="s">
        <v>2006</v>
      </c>
      <c r="I821" s="7">
        <f ca="1">IF(cst__button_kind="","",IF(ISERROR(INDIRECT(cst_shinsei_ctrl&amp;cst__button_kind&amp;"_NOTIFY_SOUFU_SAKI")),"",IF(INDIRECT(cst_shinsei_ctrl&amp;cst__button_kind&amp;"_NOTIFY_SOUFU_SAKI")="","",INDIRECT(cst_shinsei_ctrl&amp;cst__button_kind&amp;"_NOTIFY_SOUFU_SAKI"))))</f>
      </c>
      <c r="K821" s="391" t="s">
        <v>90</v>
      </c>
      <c r="L821" s="391"/>
      <c r="M821" s="391"/>
    </row>
    <row r="822" spans="3:13" s="388" customFormat="1" ht="12.75" customHeight="1">
      <c r="C822" s="383" t="s">
        <v>1046</v>
      </c>
      <c r="H822" s="383" t="s">
        <v>2007</v>
      </c>
      <c r="I822" s="7">
        <f ca="1">IF(cst__button_kind="","",IF(ISERROR(INDIRECT(cst_shinsei_ctrl&amp;cst__button_kind&amp;"_NOTIFY_DOCNO")),"",IF(INDIRECT(cst_shinsei_ctrl&amp;cst__button_kind&amp;"_NOTIFY_DOCNO")="","",INDIRECT(cst_shinsei_ctrl&amp;cst__button_kind&amp;"_NOTIFY_DOCNO"))))</f>
      </c>
      <c r="K822" s="391" t="s">
        <v>90</v>
      </c>
      <c r="L822" s="392" t="s">
        <v>1993</v>
      </c>
      <c r="M822" s="391"/>
    </row>
    <row r="823" s="388" customFormat="1" ht="12.75" customHeight="1">
      <c r="F823" s="4"/>
    </row>
    <row r="824" spans="2:13" s="388" customFormat="1" ht="12.75" customHeight="1">
      <c r="B824" s="388" t="s">
        <v>1994</v>
      </c>
      <c r="H824" s="12"/>
      <c r="K824" s="391"/>
      <c r="L824" s="391"/>
      <c r="M824" s="391"/>
    </row>
    <row r="825" spans="3:13" s="388" customFormat="1" ht="12.75" customHeight="1">
      <c r="C825" s="13" t="s">
        <v>549</v>
      </c>
      <c r="H825" s="12" t="s">
        <v>2008</v>
      </c>
      <c r="I825" s="385">
        <f ca="1">IF(cst__button_kind="","",IF(ISERROR(INDIRECT(cst_shinsei_ctrl&amp;cst__button_kind&amp;"_REPORT_DATE")),"",IF(INDIRECT(cst_shinsei_ctrl&amp;cst__button_kind&amp;"_REPORT_DATE")="","",INDIRECT(cst_shinsei_ctrl&amp;cst__button_kind&amp;"_REPORT_DATE"))))</f>
      </c>
      <c r="K825" s="391" t="s">
        <v>90</v>
      </c>
      <c r="L825" s="391"/>
      <c r="M825" s="391" t="s">
        <v>90</v>
      </c>
    </row>
    <row r="826" spans="3:13" s="388" customFormat="1" ht="12.75" customHeight="1">
      <c r="C826" s="13" t="s">
        <v>1962</v>
      </c>
      <c r="H826" s="12" t="s">
        <v>2009</v>
      </c>
      <c r="I826" s="7">
        <f ca="1">IF(cst__button_kind="","",IF(ISERROR(INDIRECT(cst_shinsei_ctrl&amp;cst__button_kind&amp;"_CAUSE")),"",IF(INDIRECT(cst_shinsei_ctrl&amp;cst__button_kind&amp;"_CAUSE")="","",INDIRECT(cst_shinsei_ctrl&amp;cst__button_kind&amp;"_CAUSE"))))</f>
      </c>
      <c r="K826" s="391" t="s">
        <v>90</v>
      </c>
      <c r="L826" s="391"/>
      <c r="M826" s="391" t="s">
        <v>90</v>
      </c>
    </row>
    <row r="827" s="388" customFormat="1" ht="12.75" customHeight="1">
      <c r="F827" s="4"/>
    </row>
    <row r="828" spans="2:13" s="388" customFormat="1" ht="12.75" customHeight="1">
      <c r="B828" s="388" t="s">
        <v>1995</v>
      </c>
      <c r="H828" s="12"/>
      <c r="K828" s="391"/>
      <c r="L828" s="391"/>
      <c r="M828" s="391"/>
    </row>
    <row r="829" spans="3:13" s="388" customFormat="1" ht="12.75" customHeight="1">
      <c r="C829" s="12" t="s">
        <v>1052</v>
      </c>
      <c r="H829" s="12" t="s">
        <v>2015</v>
      </c>
      <c r="I829" s="393">
        <f ca="1">IF(cst__button_kind="","",IF(ISERROR(INDIRECT(cst_shinsei_ctrl&amp;cst__button_kind&amp;cst_STRUCTNOTIFT_ctrl&amp;"_USE")),"",IF(INDIRECT(cst_shinsei_ctrl&amp;cst__button_kind&amp;cst_STRUCTNOTIFT_ctrl&amp;"_USE")="","",INDIRECT(cst_shinsei_ctrl&amp;cst__button_kind&amp;cst_STRUCTNOTIFT_ctrl&amp;"_USE"))))</f>
      </c>
      <c r="J829" s="388" t="s">
        <v>1996</v>
      </c>
      <c r="K829" s="391" t="s">
        <v>1997</v>
      </c>
      <c r="L829" s="391" t="s">
        <v>1997</v>
      </c>
      <c r="M829" s="391"/>
    </row>
    <row r="830" spans="3:13" s="388" customFormat="1" ht="12.75" customHeight="1">
      <c r="C830" s="13" t="s">
        <v>552</v>
      </c>
      <c r="H830" s="12" t="s">
        <v>2010</v>
      </c>
      <c r="I830" s="385">
        <f ca="1">IF(cst__button_kind="","",IF(ISERROR(INDIRECT(cst_shinsei_ctrl&amp;cst__button_kind&amp;cst_STRUCTNOTIFT_ctrl&amp;"_NOTIFT_DATE")),"",IF(INDIRECT(cst_shinsei_ctrl&amp;cst__button_kind&amp;cst_STRUCTNOTIFT_ctrl&amp;"_NOTIFT_DATE")="","",INDIRECT(cst_shinsei_ctrl&amp;cst__button_kind&amp;cst_STRUCTNOTIFT_ctrl&amp;"_NOTIFT_DATE"))))</f>
      </c>
      <c r="K830" s="391" t="s">
        <v>1997</v>
      </c>
      <c r="L830" s="391" t="s">
        <v>1997</v>
      </c>
      <c r="M830" s="391" t="s">
        <v>1997</v>
      </c>
    </row>
    <row r="831" spans="3:13" s="388" customFormat="1" ht="12.75" customHeight="1">
      <c r="C831" s="13" t="s">
        <v>553</v>
      </c>
      <c r="H831" s="12" t="s">
        <v>2011</v>
      </c>
      <c r="I831" s="390">
        <f ca="1">IF(cst__button_kind="","",IF(ISERROR(INDIRECT(cst_shinsei_ctrl&amp;cst__button_kind&amp;cst_STRUCTNOTIFT_ctrl&amp;"_NOTIFT_NO")),"",IF(INDIRECT(cst_shinsei_ctrl&amp;cst__button_kind&amp;cst_STRUCTNOTIFT_ctrl&amp;"_NOTIFT_NO")="","",INDIRECT(cst_shinsei_ctrl&amp;cst__button_kind&amp;cst_STRUCTNOTIFT_ctrl&amp;"_NOTIFT_NO"))))</f>
      </c>
      <c r="K831" s="391" t="s">
        <v>90</v>
      </c>
      <c r="L831" s="391" t="s">
        <v>90</v>
      </c>
      <c r="M831" s="391" t="s">
        <v>90</v>
      </c>
    </row>
    <row r="832" spans="3:13" s="388" customFormat="1" ht="12.75" customHeight="1">
      <c r="C832" s="12" t="s">
        <v>1055</v>
      </c>
      <c r="H832" s="12" t="s">
        <v>2016</v>
      </c>
      <c r="I832" s="390">
        <f ca="1">IF(cst__button_kind="","",IF(ISERROR(INDIRECT(cst_shinsei_ctrl&amp;cst__button_kind&amp;cst_STRUCTNOTIFT_ctrl&amp;"_TOUTYAKU_MEMO")),"",IF(INDIRECT(cst_shinsei_ctrl&amp;cst__button_kind&amp;cst_STRUCTNOTIFT_ctrl&amp;"_TOUTYAKU_MEMO")="","",INDIRECT(cst_shinsei_ctrl&amp;cst__button_kind&amp;cst_STRUCTNOTIFT_ctrl&amp;"_TOUTYAKU_MEMO"))))</f>
      </c>
      <c r="K832" s="391" t="s">
        <v>90</v>
      </c>
      <c r="L832" s="391" t="s">
        <v>90</v>
      </c>
      <c r="M832" s="391"/>
    </row>
    <row r="833" spans="3:13" s="388" customFormat="1" ht="12.75" customHeight="1">
      <c r="C833" s="12" t="s">
        <v>545</v>
      </c>
      <c r="H833" s="12" t="s">
        <v>2017</v>
      </c>
      <c r="I833" s="390">
        <f ca="1">IF(cst__button_kind="","",IF(ISERROR(INDIRECT(cst_shinsei_ctrl&amp;cst__button_kind&amp;cst_STRUCTNOTIFT_ctrl&amp;"_BIKO")),"",IF(INDIRECT(cst_shinsei_ctrl&amp;cst__button_kind&amp;cst_STRUCTNOTIFT_ctrl&amp;"_BIKO")="","",INDIRECT(cst_shinsei_ctrl&amp;cst__button_kind&amp;cst_STRUCTNOTIFT_ctrl&amp;"_BIKO"))))</f>
      </c>
      <c r="K833" s="391" t="s">
        <v>90</v>
      </c>
      <c r="L833" s="391" t="s">
        <v>90</v>
      </c>
      <c r="M833" s="391"/>
    </row>
    <row r="834" spans="3:13" s="388" customFormat="1" ht="12.75" customHeight="1">
      <c r="C834" s="13" t="s">
        <v>1998</v>
      </c>
      <c r="H834" s="12" t="s">
        <v>2018</v>
      </c>
      <c r="I834" s="385">
        <f ca="1">IF(cst__button_kind="","",IF(ISERROR(INDIRECT(cst_shinsei_ctrl&amp;cst__button_kind&amp;cst_STRUCTNOTIFT_ctrl&amp;"_TUIKA_DATE")),"",IF(INDIRECT(cst_shinsei_ctrl&amp;cst__button_kind&amp;cst_STRUCTNOTIFT_ctrl&amp;"_TUIKA_DATE")="","",INDIRECT(cst_shinsei_ctrl&amp;cst__button_kind&amp;cst_STRUCTNOTIFT_ctrl&amp;"_TUIKA_DATE"))))</f>
      </c>
      <c r="K834" s="391" t="s">
        <v>90</v>
      </c>
      <c r="L834" s="391" t="s">
        <v>90</v>
      </c>
      <c r="M834" s="391"/>
    </row>
    <row r="835" spans="3:13" s="388" customFormat="1" ht="12.75" customHeight="1">
      <c r="C835" s="12" t="s">
        <v>1057</v>
      </c>
      <c r="H835" s="12" t="s">
        <v>2019</v>
      </c>
      <c r="I835" s="7">
        <f ca="1">IF(cst__button_kind="","",IF(ISERROR(INDIRECT(cst_shinsei_ctrl&amp;cst__button_kind&amp;cst_STRUCTNOTIFT_ctrl&amp;"_DOCNO")),"",IF(INDIRECT(cst_shinsei_ctrl&amp;cst__button_kind&amp;cst_STRUCTNOTIFT_ctrl&amp;"_DOCNO")="","",INDIRECT(cst_shinsei_ctrl&amp;cst__button_kind&amp;cst_STRUCTNOTIFT_ctrl&amp;"_DOCNO"))))</f>
      </c>
      <c r="K835" s="391" t="s">
        <v>90</v>
      </c>
      <c r="L835" s="391" t="s">
        <v>90</v>
      </c>
      <c r="M835" s="391"/>
    </row>
    <row r="836" s="388" customFormat="1" ht="12.75" customHeight="1">
      <c r="F836" s="4"/>
    </row>
    <row r="837" spans="2:13" s="388" customFormat="1" ht="12.75" customHeight="1">
      <c r="B837" s="12" t="s">
        <v>1058</v>
      </c>
      <c r="C837" s="13"/>
      <c r="H837" s="12"/>
      <c r="I837" s="394"/>
      <c r="K837" s="391"/>
      <c r="L837" s="391"/>
      <c r="M837" s="391"/>
    </row>
    <row r="838" spans="3:13" s="388" customFormat="1" ht="12.75" customHeight="1">
      <c r="C838" s="13" t="s">
        <v>552</v>
      </c>
      <c r="H838" s="12" t="s">
        <v>2012</v>
      </c>
      <c r="I838" s="385">
        <f ca="1">IF(cst__button_kind="","",IF(ISERROR(INDIRECT(cst_shinsei_ctrl&amp;cst__button_kind&amp;"_STRUCTTUIKA_NOTIFT_DATE")),"",IF(INDIRECT(cst_shinsei_ctrl&amp;cst__button_kind&amp;"_STRUCTTUIKA_NOTIFT_DATE")="","",INDIRECT(cst_shinsei_ctrl&amp;cst__button_kind&amp;"_STRUCTTUIKA_NOTIFT_DATE"))))</f>
      </c>
      <c r="K838" s="391" t="s">
        <v>90</v>
      </c>
      <c r="L838" s="391" t="s">
        <v>90</v>
      </c>
      <c r="M838" s="391" t="s">
        <v>90</v>
      </c>
    </row>
    <row r="839" spans="3:13" s="388" customFormat="1" ht="12.75" customHeight="1">
      <c r="C839" s="12" t="s">
        <v>1999</v>
      </c>
      <c r="H839" s="12" t="s">
        <v>2020</v>
      </c>
      <c r="I839" s="385">
        <f ca="1">IF(cst__button_kind="","",IF(ISERROR(INDIRECT(cst_shinsei_ctrl&amp;cst__button_kind&amp;"_STRUCTNOTIFT_HENKOU_NOTIFT_DATE")),"",IF(INDIRECT(cst_shinsei_ctrl&amp;cst__button_kind&amp;"_STRUCTNOTIFT_HENKOU_NOTIFT_DATE")="","",INDIRECT(cst_shinsei_ctrl&amp;cst__button_kind&amp;"_STRUCTNOTIFT_HENKOU_NOTIFT_DATE"))))</f>
      </c>
      <c r="K839" s="391" t="s">
        <v>2000</v>
      </c>
      <c r="L839" s="391" t="s">
        <v>2000</v>
      </c>
      <c r="M839" s="391"/>
    </row>
    <row r="840" spans="3:13" s="388" customFormat="1" ht="12.75" customHeight="1">
      <c r="C840" s="12" t="s">
        <v>1061</v>
      </c>
      <c r="H840" s="12" t="s">
        <v>2021</v>
      </c>
      <c r="I840" s="385">
        <f ca="1">IF(cst__button_kind="","",IF(ISERROR(INDIRECT(cst_shinsei_ctrl&amp;cst__button_kind&amp;"_STRUCTNOTIFT_HENKOU_LIMIT_DATE")),"",IF(INDIRECT(cst_shinsei_ctrl&amp;cst__button_kind&amp;"_STRUCTNOTIFT_HENKOU_LIMIT_DATE")="","",INDIRECT(cst_shinsei_ctrl&amp;cst__button_kind&amp;"_STRUCTNOTIFT_HENKOU_LIMIT_DATE"))))</f>
      </c>
      <c r="K840" s="391" t="s">
        <v>2000</v>
      </c>
      <c r="L840" s="391" t="s">
        <v>2000</v>
      </c>
      <c r="M840" s="391"/>
    </row>
    <row r="841" spans="3:13" s="388" customFormat="1" ht="12.75" customHeight="1">
      <c r="C841" s="12" t="s">
        <v>1060</v>
      </c>
      <c r="H841" s="12" t="s">
        <v>2022</v>
      </c>
      <c r="I841" s="7">
        <f ca="1">IF(cst__button_kind="","",IF(ISERROR(INDIRECT(cst_shinsei_ctrl&amp;cst__button_kind&amp;"_STRUCTTUIKA_DOCNO")),"",IF(INDIRECT(cst_shinsei_ctrl&amp;cst__button_kind&amp;"_STRUCTTUIKA_DOCNO")="","",INDIRECT(cst_shinsei_ctrl&amp;cst__button_kind&amp;"_STRUCTTUIKA_DOCNO"))))</f>
      </c>
      <c r="K841" s="391" t="s">
        <v>2000</v>
      </c>
      <c r="L841" s="391" t="s">
        <v>2000</v>
      </c>
      <c r="M841" s="391"/>
    </row>
    <row r="842" s="388" customFormat="1" ht="12.75" customHeight="1">
      <c r="F842" s="4"/>
    </row>
    <row r="843" spans="2:13" s="388" customFormat="1" ht="12.75" customHeight="1">
      <c r="B843" s="12" t="s">
        <v>2001</v>
      </c>
      <c r="H843" s="12" t="s">
        <v>2013</v>
      </c>
      <c r="I843" s="7">
        <f ca="1">IF(cst__button_kind="","",IF(ISERROR(INDIRECT(cst_shinsei_ctrl&amp;cst__button_kind&amp;"_BIKO")),"",IF(INDIRECT(cst_shinsei_ctrl&amp;cst__button_kind&amp;"_BIKO")="","",INDIRECT(cst_shinsei_ctrl&amp;cst__button_kind&amp;"_BIKO"))))</f>
      </c>
      <c r="K843" s="391" t="s">
        <v>2000</v>
      </c>
      <c r="L843" s="391" t="s">
        <v>2000</v>
      </c>
      <c r="M843" s="391"/>
    </row>
    <row r="844" ht="12.75" customHeight="1">
      <c r="F844" s="318" t="s">
        <v>3409</v>
      </c>
    </row>
    <row r="845" ht="12.75" customHeight="1">
      <c r="F845" s="318" t="s">
        <v>3409</v>
      </c>
    </row>
    <row r="846" ht="12.75" customHeight="1">
      <c r="F846" s="318" t="s">
        <v>3409</v>
      </c>
    </row>
    <row r="847" spans="1:7" s="11" customFormat="1" ht="12.75" customHeight="1">
      <c r="A847" s="53" t="s">
        <v>536</v>
      </c>
      <c r="B847" s="53"/>
      <c r="C847" s="53"/>
      <c r="D847" s="53"/>
      <c r="E847" s="53"/>
      <c r="F847" s="53" t="s">
        <v>3409</v>
      </c>
      <c r="G847" s="12"/>
    </row>
    <row r="848" spans="1:8" s="11" customFormat="1" ht="12.75" customHeight="1">
      <c r="A848" s="13"/>
      <c r="B848" s="13"/>
      <c r="C848" s="13"/>
      <c r="D848" s="13"/>
      <c r="E848" s="13"/>
      <c r="F848" s="13" t="s">
        <v>3409</v>
      </c>
      <c r="G848" s="12"/>
      <c r="H848" s="12"/>
    </row>
    <row r="849" spans="1:7" s="11" customFormat="1" ht="12.75" customHeight="1">
      <c r="A849" s="71" t="s">
        <v>537</v>
      </c>
      <c r="B849" s="71"/>
      <c r="C849" s="71"/>
      <c r="D849" s="71"/>
      <c r="E849" s="71"/>
      <c r="F849" s="13" t="s">
        <v>3409</v>
      </c>
      <c r="G849" s="12"/>
    </row>
    <row r="850" spans="1:9" s="11" customFormat="1" ht="12.75" customHeight="1">
      <c r="A850" s="14"/>
      <c r="B850" s="13" t="s">
        <v>538</v>
      </c>
      <c r="C850" s="13"/>
      <c r="D850" s="13"/>
      <c r="E850" s="13"/>
      <c r="F850" s="13" t="s">
        <v>539</v>
      </c>
      <c r="G850" s="96"/>
      <c r="H850" s="12" t="s">
        <v>1582</v>
      </c>
      <c r="I850" s="85">
        <f>IF(shinsei_IMPOSS_NOTIFY_DATE="","",shinsei_IMPOSS_NOTIFY_DATE)</f>
      </c>
    </row>
    <row r="851" spans="1:9" s="11" customFormat="1" ht="12.75" customHeight="1">
      <c r="A851" s="14"/>
      <c r="B851" s="13" t="s">
        <v>876</v>
      </c>
      <c r="C851" s="13"/>
      <c r="D851" s="13"/>
      <c r="E851" s="13"/>
      <c r="F851" s="13" t="s">
        <v>540</v>
      </c>
      <c r="G851" s="14" t="s">
        <v>3409</v>
      </c>
      <c r="H851" s="12" t="s">
        <v>541</v>
      </c>
      <c r="I851" s="18">
        <f>IF(shinsei_IMPOSS_NOTIFY_USER_ID="","",shinsei_IMPOSS_NOTIFY_USER_ID)</f>
      </c>
    </row>
    <row r="852" spans="1:9" s="11" customFormat="1" ht="12.75" customHeight="1">
      <c r="A852" s="14"/>
      <c r="B852" s="13" t="s">
        <v>542</v>
      </c>
      <c r="C852" s="13"/>
      <c r="D852" s="13"/>
      <c r="E852" s="13"/>
      <c r="F852" s="13" t="s">
        <v>543</v>
      </c>
      <c r="G852" s="96"/>
      <c r="H852" s="12" t="s">
        <v>1583</v>
      </c>
      <c r="I852" s="85">
        <f>IF(shinsei_IMPOSS_NOTIFY_LIMIT_DATE="","",shinsei_IMPOSS_NOTIFY_LIMIT_DATE)</f>
      </c>
    </row>
    <row r="853" spans="1:9" s="11" customFormat="1" ht="12.75" customHeight="1">
      <c r="A853" s="14"/>
      <c r="B853" s="13" t="s">
        <v>2650</v>
      </c>
      <c r="C853" s="13"/>
      <c r="D853" s="13"/>
      <c r="E853" s="13"/>
      <c r="F853" s="13" t="s">
        <v>544</v>
      </c>
      <c r="G853" s="14" t="s">
        <v>3409</v>
      </c>
      <c r="H853" s="12" t="s">
        <v>1584</v>
      </c>
      <c r="I853" s="18">
        <f>IF(shinsei_IMPOSS_NOTIFY_CAUSE="","",shinsei_IMPOSS_NOTIFY_CAUSE)</f>
      </c>
    </row>
    <row r="854" spans="1:9" s="11" customFormat="1" ht="12.75" customHeight="1">
      <c r="A854" s="14"/>
      <c r="B854" s="13" t="s">
        <v>545</v>
      </c>
      <c r="C854" s="13"/>
      <c r="D854" s="13"/>
      <c r="E854" s="13"/>
      <c r="F854" s="13" t="s">
        <v>546</v>
      </c>
      <c r="G854" s="14" t="s">
        <v>3409</v>
      </c>
      <c r="H854" s="12" t="s">
        <v>547</v>
      </c>
      <c r="I854" s="18">
        <f>IF(shinsei_IMPOSS_NOTIFY_BIKO="","",shinsei_IMPOSS_NOTIFY_BIKO)</f>
      </c>
    </row>
    <row r="855" spans="1:6" s="11" customFormat="1" ht="12.75" customHeight="1">
      <c r="A855" s="13"/>
      <c r="B855" s="52"/>
      <c r="C855" s="52"/>
      <c r="D855" s="52"/>
      <c r="E855" s="52"/>
      <c r="F855" s="52" t="s">
        <v>3409</v>
      </c>
    </row>
    <row r="856" spans="1:9" s="11" customFormat="1" ht="12.75" customHeight="1">
      <c r="A856" s="71" t="s">
        <v>548</v>
      </c>
      <c r="B856" s="71"/>
      <c r="C856" s="71"/>
      <c r="D856" s="71"/>
      <c r="E856" s="71"/>
      <c r="F856" s="71" t="s">
        <v>3409</v>
      </c>
      <c r="G856" s="12"/>
      <c r="H856" s="12"/>
      <c r="I856" s="12"/>
    </row>
    <row r="857" spans="1:9" s="11" customFormat="1" ht="12.75" customHeight="1">
      <c r="A857" s="14"/>
      <c r="B857" s="13" t="s">
        <v>549</v>
      </c>
      <c r="C857" s="13"/>
      <c r="D857" s="13"/>
      <c r="E857" s="13"/>
      <c r="F857" s="13" t="s">
        <v>550</v>
      </c>
      <c r="G857" s="81"/>
      <c r="H857" s="12" t="s">
        <v>1585</v>
      </c>
      <c r="I857" s="85">
        <f>IF(shinsei_IMPOSS_REPORT_DATE="","",shinsei_IMPOSS_REPORT_DATE)</f>
      </c>
    </row>
    <row r="858" spans="1:6" s="11" customFormat="1" ht="12.75" customHeight="1">
      <c r="A858" s="13"/>
      <c r="B858" s="52"/>
      <c r="C858" s="52"/>
      <c r="D858" s="52"/>
      <c r="E858" s="52"/>
      <c r="F858" s="52" t="s">
        <v>3409</v>
      </c>
    </row>
    <row r="859" spans="1:9" s="11" customFormat="1" ht="12.75" customHeight="1">
      <c r="A859" s="13" t="s">
        <v>551</v>
      </c>
      <c r="B859" s="13"/>
      <c r="C859" s="13"/>
      <c r="D859" s="13"/>
      <c r="E859" s="13"/>
      <c r="F859" s="13" t="s">
        <v>3409</v>
      </c>
      <c r="G859" s="12"/>
      <c r="H859" s="12"/>
      <c r="I859" s="12"/>
    </row>
    <row r="860" spans="1:9" s="11" customFormat="1" ht="12.75" customHeight="1">
      <c r="A860" s="13"/>
      <c r="B860" s="13" t="s">
        <v>552</v>
      </c>
      <c r="C860" s="13"/>
      <c r="D860" s="13"/>
      <c r="E860" s="13"/>
      <c r="F860" s="13" t="s">
        <v>3845</v>
      </c>
      <c r="G860" s="96"/>
      <c r="H860" s="63" t="s">
        <v>1586</v>
      </c>
      <c r="I860" s="97">
        <f>IF(shinsei_IMPOSS1_NOTIFY_ID__STRUCTNOTIFT_NOTIFT_DATE="","",shinsei_IMPOSS1_NOTIFY_ID__STRUCTNOTIFT_NOTIFT_DATE)</f>
      </c>
    </row>
    <row r="861" spans="1:9" s="11" customFormat="1" ht="12.75" customHeight="1">
      <c r="A861" s="13"/>
      <c r="B861" s="13" t="s">
        <v>553</v>
      </c>
      <c r="C861" s="13"/>
      <c r="D861" s="13"/>
      <c r="E861" s="13"/>
      <c r="F861" s="13" t="s">
        <v>3846</v>
      </c>
      <c r="G861" s="14" t="s">
        <v>3409</v>
      </c>
      <c r="H861" s="63" t="s">
        <v>631</v>
      </c>
      <c r="I861" s="18">
        <f>IF(shinsei_IMPOSS1_NOTIFY_ID__STRUCTNOTIFT_NOTIFT_NO="","",shinsei_IMPOSS1_NOTIFY_ID__STRUCTNOTIFT_NOTIFT_NO)</f>
      </c>
    </row>
    <row r="862" spans="1:9" s="11" customFormat="1" ht="12.75" customHeight="1">
      <c r="A862" s="13"/>
      <c r="B862" s="13" t="s">
        <v>554</v>
      </c>
      <c r="C862" s="13"/>
      <c r="D862" s="13"/>
      <c r="E862" s="13"/>
      <c r="F862" s="13" t="s">
        <v>3847</v>
      </c>
      <c r="G862" s="96"/>
      <c r="H862" s="63" t="s">
        <v>632</v>
      </c>
      <c r="I862" s="97">
        <f>IF(shinsei_IMPOSS1_NOTIFY_ID__STRUCTNOTIFT_TUIKA_DATE="","",shinsei_IMPOSS1_NOTIFY_ID__STRUCTNOTIFT_TUIKA_DATE)</f>
      </c>
    </row>
    <row r="863" spans="1:9" s="11" customFormat="1" ht="12.75" customHeight="1">
      <c r="A863" s="13"/>
      <c r="B863" s="13" t="s">
        <v>555</v>
      </c>
      <c r="C863" s="13"/>
      <c r="D863" s="13"/>
      <c r="E863" s="13"/>
      <c r="F863" s="13" t="s">
        <v>3848</v>
      </c>
      <c r="G863" s="96"/>
      <c r="H863" s="63" t="s">
        <v>633</v>
      </c>
      <c r="I863" s="97">
        <f>IF(shinsei_IMPOSS1_NOTIFY_ID__STRUCTTUIKA_NOTIFT_DATE="","",shinsei_IMPOSS1_NOTIFY_ID__STRUCTTUIKA_NOTIFT_DATE)</f>
      </c>
    </row>
    <row r="864" spans="1:9" s="11" customFormat="1" ht="12.75" customHeight="1">
      <c r="A864" s="13"/>
      <c r="B864" s="13"/>
      <c r="C864" s="13"/>
      <c r="D864" s="13"/>
      <c r="E864" s="13"/>
      <c r="F864" s="13" t="s">
        <v>3409</v>
      </c>
      <c r="G864" s="12"/>
      <c r="H864" s="12"/>
      <c r="I864" s="12"/>
    </row>
    <row r="865" spans="1:9" s="11" customFormat="1" ht="12.75" customHeight="1">
      <c r="A865" s="13"/>
      <c r="B865" s="13"/>
      <c r="C865" s="13"/>
      <c r="D865" s="13"/>
      <c r="E865" s="13"/>
      <c r="F865" s="13" t="s">
        <v>3409</v>
      </c>
      <c r="G865" s="12"/>
      <c r="H865" s="12"/>
      <c r="I865" s="12"/>
    </row>
    <row r="866" spans="1:9" s="11" customFormat="1" ht="12.75" customHeight="1">
      <c r="A866" s="71" t="s">
        <v>1288</v>
      </c>
      <c r="B866" s="71"/>
      <c r="C866" s="71"/>
      <c r="D866" s="71"/>
      <c r="E866" s="71"/>
      <c r="F866" s="71" t="s">
        <v>3409</v>
      </c>
      <c r="G866" s="18"/>
      <c r="H866" s="12"/>
      <c r="I866" s="12"/>
    </row>
    <row r="867" spans="1:9" s="11" customFormat="1" ht="12.75" customHeight="1">
      <c r="A867" s="14"/>
      <c r="B867" s="13" t="s">
        <v>538</v>
      </c>
      <c r="C867" s="13"/>
      <c r="D867" s="13"/>
      <c r="E867" s="13"/>
      <c r="F867" s="13" t="s">
        <v>1289</v>
      </c>
      <c r="G867" s="96"/>
      <c r="H867" s="12" t="s">
        <v>634</v>
      </c>
      <c r="I867" s="85">
        <f>IF(shinsei_IMPOSS2_NOTIFY_ID__NOTIFY_DATE="","",shinsei_IMPOSS2_NOTIFY_ID__NOTIFY_DATE)</f>
      </c>
    </row>
    <row r="868" spans="1:9" s="11" customFormat="1" ht="12.75" customHeight="1">
      <c r="A868" s="14"/>
      <c r="B868" s="13" t="s">
        <v>876</v>
      </c>
      <c r="C868" s="13"/>
      <c r="D868" s="13"/>
      <c r="E868" s="13"/>
      <c r="F868" s="13" t="s">
        <v>1290</v>
      </c>
      <c r="G868" s="14" t="s">
        <v>3409</v>
      </c>
      <c r="H868" s="12" t="s">
        <v>1291</v>
      </c>
      <c r="I868" s="18">
        <f>IF(shinsei_IMPOSS2_NOTIFY_ID__KENSAIN_USER_ID="","",shinsei_IMPOSS2_NOTIFY_ID__KENSAIN_USER_ID)</f>
      </c>
    </row>
    <row r="869" spans="1:9" s="11" customFormat="1" ht="12.75" customHeight="1">
      <c r="A869" s="14"/>
      <c r="B869" s="13" t="s">
        <v>542</v>
      </c>
      <c r="C869" s="13"/>
      <c r="D869" s="13"/>
      <c r="E869" s="13"/>
      <c r="F869" s="13" t="s">
        <v>1292</v>
      </c>
      <c r="G869" s="96"/>
      <c r="H869" s="12" t="s">
        <v>635</v>
      </c>
      <c r="I869" s="85">
        <f>IF(shinsei_IMPOSS2_NOTIFY_ID__LIMIT_DATE="","",shinsei_IMPOSS2_NOTIFY_ID__LIMIT_DATE)</f>
      </c>
    </row>
    <row r="870" spans="1:9" s="11" customFormat="1" ht="12.75" customHeight="1">
      <c r="A870" s="14"/>
      <c r="B870" s="13" t="s">
        <v>2650</v>
      </c>
      <c r="C870" s="13"/>
      <c r="D870" s="13"/>
      <c r="E870" s="13"/>
      <c r="F870" s="13" t="s">
        <v>1221</v>
      </c>
      <c r="G870" s="14" t="s">
        <v>3409</v>
      </c>
      <c r="H870" s="12" t="s">
        <v>636</v>
      </c>
      <c r="I870" s="18">
        <f>IF(shinsei_IMPOSS2_NOTIFY_ID__NOTIFY_CAUSE="","",shinsei_IMPOSS2_NOTIFY_ID__NOTIFY_CAUSE)</f>
      </c>
    </row>
    <row r="871" spans="1:9" s="11" customFormat="1" ht="12.75" customHeight="1">
      <c r="A871" s="14"/>
      <c r="B871" s="13" t="s">
        <v>545</v>
      </c>
      <c r="C871" s="13"/>
      <c r="D871" s="13"/>
      <c r="E871" s="13"/>
      <c r="F871" s="13" t="s">
        <v>3849</v>
      </c>
      <c r="G871" s="14" t="s">
        <v>3409</v>
      </c>
      <c r="H871" s="12" t="s">
        <v>3182</v>
      </c>
      <c r="I871" s="18">
        <f>IF(shinsei_IMPOSS2_NOTIFY_ID__NOTIFY_NOTE="","",shinsei_IMPOSS2_NOTIFY_ID__NOTIFY_NOTE)</f>
      </c>
    </row>
    <row r="872" spans="1:6" s="11" customFormat="1" ht="12.75" customHeight="1">
      <c r="A872" s="13"/>
      <c r="B872" s="52"/>
      <c r="C872" s="52"/>
      <c r="D872" s="52"/>
      <c r="E872" s="52"/>
      <c r="F872" s="52" t="s">
        <v>3409</v>
      </c>
    </row>
    <row r="873" spans="1:9" s="11" customFormat="1" ht="12.75" customHeight="1">
      <c r="A873" s="71" t="s">
        <v>1222</v>
      </c>
      <c r="B873" s="71"/>
      <c r="C873" s="71"/>
      <c r="D873" s="71"/>
      <c r="E873" s="71"/>
      <c r="F873" s="71" t="s">
        <v>3409</v>
      </c>
      <c r="G873" s="12"/>
      <c r="H873" s="12"/>
      <c r="I873" s="12"/>
    </row>
    <row r="874" spans="1:9" s="11" customFormat="1" ht="12.75" customHeight="1">
      <c r="A874" s="14"/>
      <c r="B874" s="13" t="s">
        <v>549</v>
      </c>
      <c r="C874" s="13"/>
      <c r="D874" s="13"/>
      <c r="E874" s="13"/>
      <c r="F874" s="13" t="s">
        <v>1223</v>
      </c>
      <c r="G874" s="96"/>
      <c r="H874" s="12" t="s">
        <v>3183</v>
      </c>
      <c r="I874" s="85">
        <f>IF(shinsei_IMPOSS2_NOTIFY_ID__REPORT_DATE="","",shinsei_IMPOSS2_NOTIFY_ID__REPORT_DATE)</f>
      </c>
    </row>
    <row r="875" spans="1:6" s="11" customFormat="1" ht="12.75" customHeight="1">
      <c r="A875" s="13"/>
      <c r="B875" s="52"/>
      <c r="C875" s="52"/>
      <c r="D875" s="52"/>
      <c r="E875" s="52"/>
      <c r="F875" s="52" t="s">
        <v>3409</v>
      </c>
    </row>
    <row r="876" spans="1:9" s="11" customFormat="1" ht="12.75" customHeight="1">
      <c r="A876" s="13" t="s">
        <v>551</v>
      </c>
      <c r="B876" s="13"/>
      <c r="C876" s="13"/>
      <c r="D876" s="13"/>
      <c r="E876" s="13"/>
      <c r="F876" s="13" t="s">
        <v>3409</v>
      </c>
      <c r="G876" s="12"/>
      <c r="H876" s="12"/>
      <c r="I876" s="12"/>
    </row>
    <row r="877" spans="1:9" s="11" customFormat="1" ht="12.75" customHeight="1">
      <c r="A877" s="13"/>
      <c r="B877" s="13" t="s">
        <v>552</v>
      </c>
      <c r="C877" s="13"/>
      <c r="D877" s="13"/>
      <c r="E877" s="13"/>
      <c r="F877" s="13" t="s">
        <v>3850</v>
      </c>
      <c r="G877" s="96"/>
      <c r="H877" s="63" t="s">
        <v>3184</v>
      </c>
      <c r="I877" s="97">
        <f>IF(shinsei_IMPOSS2_NOTIFY_ID__STRUCTNOTIFT_NOTIFT_DATE="","",shinsei_IMPOSS2_NOTIFY_ID__STRUCTNOTIFT_NOTIFT_DATE)</f>
      </c>
    </row>
    <row r="878" spans="1:9" s="11" customFormat="1" ht="12.75" customHeight="1">
      <c r="A878" s="13"/>
      <c r="B878" s="13" t="s">
        <v>553</v>
      </c>
      <c r="C878" s="13"/>
      <c r="D878" s="13"/>
      <c r="E878" s="13"/>
      <c r="F878" s="13" t="s">
        <v>3851</v>
      </c>
      <c r="G878" s="14" t="s">
        <v>3409</v>
      </c>
      <c r="H878" s="63" t="s">
        <v>3185</v>
      </c>
      <c r="I878" s="18">
        <f>IF(shinsei_IMPOSS2_NOTIFY_ID__STRUCTNOTIFT_NOTIFT_NO="","",shinsei_IMPOSS2_NOTIFY_ID__STRUCTNOTIFT_NOTIFT_NO)</f>
      </c>
    </row>
    <row r="879" spans="1:9" s="11" customFormat="1" ht="12.75" customHeight="1">
      <c r="A879" s="13"/>
      <c r="B879" s="13" t="s">
        <v>554</v>
      </c>
      <c r="C879" s="13"/>
      <c r="D879" s="13"/>
      <c r="E879" s="13"/>
      <c r="F879" s="13" t="s">
        <v>3852</v>
      </c>
      <c r="G879" s="96"/>
      <c r="H879" s="63" t="s">
        <v>3186</v>
      </c>
      <c r="I879" s="97">
        <f>IF(shinsei_IMPOSS2_NOTIFY_ID__STRUCTNOTIFT_TUIKA_DATE="","",shinsei_IMPOSS2_NOTIFY_ID__STRUCTNOTIFT_TUIKA_DATE)</f>
      </c>
    </row>
    <row r="880" spans="1:9" s="11" customFormat="1" ht="12.75" customHeight="1">
      <c r="A880" s="13"/>
      <c r="B880" s="13" t="s">
        <v>555</v>
      </c>
      <c r="C880" s="13"/>
      <c r="D880" s="13"/>
      <c r="E880" s="13"/>
      <c r="F880" s="13" t="s">
        <v>3853</v>
      </c>
      <c r="G880" s="96"/>
      <c r="H880" s="63" t="s">
        <v>3187</v>
      </c>
      <c r="I880" s="97">
        <f>IF(shinsei_IMPOSS2_NOTIFY_ID__STRUCTTUIKA_NOTIFT_DATE="","",shinsei_IMPOSS2_NOTIFY_ID__STRUCTTUIKA_NOTIFT_DATE)</f>
      </c>
    </row>
    <row r="881" spans="1:6" s="11" customFormat="1" ht="12.75" customHeight="1">
      <c r="A881" s="13"/>
      <c r="B881" s="52"/>
      <c r="C881" s="52"/>
      <c r="D881" s="52"/>
      <c r="E881" s="52"/>
      <c r="F881" s="52" t="s">
        <v>3409</v>
      </c>
    </row>
    <row r="882" spans="1:9" s="11" customFormat="1" ht="12.75" customHeight="1">
      <c r="A882" s="13"/>
      <c r="B882" s="13"/>
      <c r="C882" s="13"/>
      <c r="D882" s="13"/>
      <c r="E882" s="13"/>
      <c r="F882" s="13" t="s">
        <v>3409</v>
      </c>
      <c r="G882" s="12"/>
      <c r="H882" s="12"/>
      <c r="I882" s="12"/>
    </row>
    <row r="883" spans="1:9" s="11" customFormat="1" ht="12.75" customHeight="1">
      <c r="A883" s="71" t="s">
        <v>1224</v>
      </c>
      <c r="B883" s="71"/>
      <c r="C883" s="71"/>
      <c r="D883" s="71"/>
      <c r="E883" s="71"/>
      <c r="F883" s="71" t="s">
        <v>3409</v>
      </c>
      <c r="G883" s="18"/>
      <c r="H883" s="12"/>
      <c r="I883" s="12"/>
    </row>
    <row r="884" spans="1:9" s="11" customFormat="1" ht="12.75" customHeight="1">
      <c r="A884" s="14"/>
      <c r="B884" s="13" t="s">
        <v>538</v>
      </c>
      <c r="C884" s="13"/>
      <c r="D884" s="13"/>
      <c r="E884" s="13"/>
      <c r="F884" s="13" t="s">
        <v>1225</v>
      </c>
      <c r="G884" s="96"/>
      <c r="H884" s="12" t="s">
        <v>3188</v>
      </c>
      <c r="I884" s="85">
        <f>IF(shinsei_IMPOSS3_NOTIFY_ID__NOTIFY_DATE="","",shinsei_IMPOSS3_NOTIFY_ID__NOTIFY_DATE)</f>
      </c>
    </row>
    <row r="885" spans="1:9" s="11" customFormat="1" ht="12.75" customHeight="1">
      <c r="A885" s="14"/>
      <c r="B885" s="13" t="s">
        <v>876</v>
      </c>
      <c r="C885" s="13"/>
      <c r="D885" s="13"/>
      <c r="E885" s="13"/>
      <c r="F885" s="13" t="s">
        <v>1226</v>
      </c>
      <c r="G885" s="14" t="s">
        <v>3409</v>
      </c>
      <c r="H885" s="12" t="s">
        <v>3189</v>
      </c>
      <c r="I885" s="18">
        <f>IF(shinsei_IMPOSS3_NOTIFY_ID__KENSAIN_USER_ID="","",shinsei_IMPOSS3_NOTIFY_ID__KENSAIN_USER_ID)</f>
      </c>
    </row>
    <row r="886" spans="1:9" s="11" customFormat="1" ht="12.75" customHeight="1">
      <c r="A886" s="14"/>
      <c r="B886" s="13" t="s">
        <v>542</v>
      </c>
      <c r="C886" s="13"/>
      <c r="D886" s="13"/>
      <c r="E886" s="13"/>
      <c r="F886" s="13" t="s">
        <v>1227</v>
      </c>
      <c r="G886" s="96"/>
      <c r="H886" s="12" t="s">
        <v>3190</v>
      </c>
      <c r="I886" s="85">
        <f>IF(shinsei_IMPOSS3_NOTIFY_ID__LIMIT_DATE="","",shinsei_IMPOSS3_NOTIFY_ID__LIMIT_DATE)</f>
      </c>
    </row>
    <row r="887" spans="1:9" s="11" customFormat="1" ht="12.75" customHeight="1">
      <c r="A887" s="14"/>
      <c r="B887" s="13" t="s">
        <v>2650</v>
      </c>
      <c r="C887" s="13"/>
      <c r="D887" s="13"/>
      <c r="E887" s="13"/>
      <c r="F887" s="13" t="s">
        <v>1228</v>
      </c>
      <c r="G887" s="14" t="s">
        <v>3409</v>
      </c>
      <c r="H887" s="12" t="s">
        <v>3191</v>
      </c>
      <c r="I887" s="18">
        <f>IF(shinsei_IMPOSS3_NOTIFY_ID__NOTIFY_CAUSE="","",shinsei_IMPOSS3_NOTIFY_ID__NOTIFY_CAUSE)</f>
      </c>
    </row>
    <row r="888" spans="1:9" s="11" customFormat="1" ht="12.75" customHeight="1">
      <c r="A888" s="14"/>
      <c r="B888" s="13" t="s">
        <v>545</v>
      </c>
      <c r="C888" s="13"/>
      <c r="D888" s="13"/>
      <c r="E888" s="13"/>
      <c r="F888" s="13" t="s">
        <v>1229</v>
      </c>
      <c r="G888" s="14" t="s">
        <v>3409</v>
      </c>
      <c r="H888" s="12" t="s">
        <v>3192</v>
      </c>
      <c r="I888" s="18">
        <f>IF(shinsei_IMPOSS3_NOTIFY_ID__NOTIFY_NOTE="","",shinsei_IMPOSS3_NOTIFY_ID__NOTIFY_NOTE)</f>
      </c>
    </row>
    <row r="889" spans="1:6" s="11" customFormat="1" ht="12.75" customHeight="1">
      <c r="A889" s="13"/>
      <c r="B889" s="52"/>
      <c r="C889" s="52"/>
      <c r="D889" s="52"/>
      <c r="E889" s="52"/>
      <c r="F889" s="52" t="s">
        <v>3409</v>
      </c>
    </row>
    <row r="890" spans="1:9" s="11" customFormat="1" ht="12.75" customHeight="1">
      <c r="A890" s="71" t="s">
        <v>1230</v>
      </c>
      <c r="B890" s="71"/>
      <c r="C890" s="71"/>
      <c r="D890" s="71"/>
      <c r="E890" s="71"/>
      <c r="F890" s="71" t="s">
        <v>3409</v>
      </c>
      <c r="G890" s="12"/>
      <c r="H890" s="12"/>
      <c r="I890" s="12"/>
    </row>
    <row r="891" spans="1:9" s="11" customFormat="1" ht="12.75" customHeight="1">
      <c r="A891" s="14"/>
      <c r="B891" s="13" t="s">
        <v>549</v>
      </c>
      <c r="C891" s="13"/>
      <c r="D891" s="13"/>
      <c r="E891" s="13"/>
      <c r="F891" s="13" t="s">
        <v>1231</v>
      </c>
      <c r="G891" s="96"/>
      <c r="H891" s="12" t="s">
        <v>3193</v>
      </c>
      <c r="I891" s="85">
        <f>IF(shinsei_IMPOSS3_NOTIFY_ID__REPORT_DATE="","",shinsei_IMPOSS3_NOTIFY_ID__REPORT_DATE)</f>
      </c>
    </row>
    <row r="892" spans="1:6" s="11" customFormat="1" ht="12.75" customHeight="1">
      <c r="A892" s="13"/>
      <c r="B892" s="52"/>
      <c r="C892" s="52"/>
      <c r="D892" s="52"/>
      <c r="E892" s="52"/>
      <c r="F892" s="52" t="s">
        <v>3409</v>
      </c>
    </row>
    <row r="893" spans="1:9" s="11" customFormat="1" ht="12.75" customHeight="1">
      <c r="A893" s="13" t="s">
        <v>551</v>
      </c>
      <c r="B893" s="13"/>
      <c r="C893" s="13"/>
      <c r="D893" s="13"/>
      <c r="E893" s="13"/>
      <c r="F893" s="13" t="s">
        <v>3409</v>
      </c>
      <c r="G893" s="12"/>
      <c r="H893" s="12"/>
      <c r="I893" s="12"/>
    </row>
    <row r="894" spans="1:9" s="11" customFormat="1" ht="12.75" customHeight="1">
      <c r="A894" s="13"/>
      <c r="B894" s="13" t="s">
        <v>552</v>
      </c>
      <c r="C894" s="13"/>
      <c r="D894" s="13"/>
      <c r="E894" s="13"/>
      <c r="F894" s="13" t="s">
        <v>3854</v>
      </c>
      <c r="G894" s="96"/>
      <c r="H894" s="63" t="s">
        <v>3194</v>
      </c>
      <c r="I894" s="97">
        <f>IF(shinsei_IMPOSS3_NOTIFY_ID__STRUCTNOTIFT_NOTIFT_DATE="","",shinsei_IMPOSS3_NOTIFY_ID__STRUCTNOTIFT_NOTIFT_DATE)</f>
      </c>
    </row>
    <row r="895" spans="1:9" s="11" customFormat="1" ht="12.75" customHeight="1">
      <c r="A895" s="13"/>
      <c r="B895" s="13" t="s">
        <v>553</v>
      </c>
      <c r="C895" s="13"/>
      <c r="D895" s="13"/>
      <c r="E895" s="13"/>
      <c r="F895" s="13" t="s">
        <v>3855</v>
      </c>
      <c r="G895" s="14" t="s">
        <v>3409</v>
      </c>
      <c r="H895" s="63" t="s">
        <v>3195</v>
      </c>
      <c r="I895" s="18">
        <f>IF(shinsei_IMPOSS3_NOTIFY_ID__STRUCTNOTIFT_NOTIFT_NO="","",shinsei_IMPOSS3_NOTIFY_ID__STRUCTNOTIFT_NOTIFT_NO)</f>
      </c>
    </row>
    <row r="896" spans="1:9" s="11" customFormat="1" ht="12.75" customHeight="1">
      <c r="A896" s="13"/>
      <c r="B896" s="13" t="s">
        <v>554</v>
      </c>
      <c r="C896" s="13"/>
      <c r="D896" s="13"/>
      <c r="E896" s="13"/>
      <c r="F896" s="13" t="s">
        <v>3856</v>
      </c>
      <c r="G896" s="96"/>
      <c r="H896" s="63" t="s">
        <v>3196</v>
      </c>
      <c r="I896" s="97">
        <f>IF(shinsei_IMPOSS3_NOTIFY_ID__STRUCTNOTIFT_TUIKA_DATE="","",shinsei_IMPOSS3_NOTIFY_ID__STRUCTNOTIFT_TUIKA_DATE)</f>
      </c>
    </row>
    <row r="897" spans="1:9" s="11" customFormat="1" ht="12.75" customHeight="1">
      <c r="A897" s="13"/>
      <c r="B897" s="13" t="s">
        <v>555</v>
      </c>
      <c r="C897" s="13"/>
      <c r="D897" s="13"/>
      <c r="E897" s="13"/>
      <c r="F897" s="13" t="s">
        <v>3857</v>
      </c>
      <c r="G897" s="96"/>
      <c r="H897" s="63" t="s">
        <v>3197</v>
      </c>
      <c r="I897" s="97">
        <f>IF(shinsei_IMPOSS3_NOTIFY_ID__STRUCTTUIKA_NOTIFT_DATE="","",shinsei_IMPOSS3_NOTIFY_ID__STRUCTTUIKA_NOTIFT_DATE)</f>
      </c>
    </row>
    <row r="898" spans="1:6" s="11" customFormat="1" ht="12.75" customHeight="1">
      <c r="A898" s="13"/>
      <c r="B898" s="52"/>
      <c r="C898" s="52"/>
      <c r="D898" s="52"/>
      <c r="E898" s="52"/>
      <c r="F898" s="52" t="s">
        <v>3409</v>
      </c>
    </row>
    <row r="899" spans="1:9" s="11" customFormat="1" ht="12.75" customHeight="1">
      <c r="A899" s="13"/>
      <c r="B899" s="13"/>
      <c r="C899" s="13"/>
      <c r="D899" s="13"/>
      <c r="E899" s="13"/>
      <c r="F899" s="13" t="s">
        <v>3409</v>
      </c>
      <c r="G899" s="12"/>
      <c r="H899" s="12"/>
      <c r="I899" s="12"/>
    </row>
    <row r="900" spans="1:9" s="11" customFormat="1" ht="12.75" customHeight="1">
      <c r="A900" s="71" t="s">
        <v>1232</v>
      </c>
      <c r="B900" s="71"/>
      <c r="C900" s="71"/>
      <c r="D900" s="71"/>
      <c r="E900" s="71"/>
      <c r="F900" s="71" t="s">
        <v>3409</v>
      </c>
      <c r="G900" s="18"/>
      <c r="H900" s="12"/>
      <c r="I900" s="12"/>
    </row>
    <row r="901" spans="1:9" s="11" customFormat="1" ht="12.75" customHeight="1">
      <c r="A901" s="14"/>
      <c r="B901" s="13" t="s">
        <v>538</v>
      </c>
      <c r="C901" s="13"/>
      <c r="D901" s="13"/>
      <c r="E901" s="13"/>
      <c r="F901" s="13" t="s">
        <v>466</v>
      </c>
      <c r="G901" s="96"/>
      <c r="H901" s="12" t="s">
        <v>3198</v>
      </c>
      <c r="I901" s="85">
        <f>IF(shinsei_IMPOSS4_NOTIFY_ID__NOTIFY_DATE="","",shinsei_IMPOSS4_NOTIFY_ID__NOTIFY_DATE)</f>
      </c>
    </row>
    <row r="902" spans="1:9" s="11" customFormat="1" ht="12.75" customHeight="1">
      <c r="A902" s="14"/>
      <c r="B902" s="13" t="s">
        <v>876</v>
      </c>
      <c r="C902" s="13"/>
      <c r="D902" s="13"/>
      <c r="E902" s="13"/>
      <c r="F902" s="13" t="s">
        <v>467</v>
      </c>
      <c r="G902" s="14" t="s">
        <v>3409</v>
      </c>
      <c r="H902" s="12" t="s">
        <v>3199</v>
      </c>
      <c r="I902" s="18">
        <f>IF(shinsei_IMPOSS4_NOTIFY_ID__KENSAIN_USER_ID="","",shinsei_IMPOSS4_NOTIFY_ID__KENSAIN_USER_ID)</f>
      </c>
    </row>
    <row r="903" spans="1:9" s="11" customFormat="1" ht="12.75" customHeight="1">
      <c r="A903" s="14"/>
      <c r="B903" s="13" t="s">
        <v>542</v>
      </c>
      <c r="C903" s="13"/>
      <c r="D903" s="13"/>
      <c r="E903" s="13"/>
      <c r="F903" s="13" t="s">
        <v>468</v>
      </c>
      <c r="G903" s="96"/>
      <c r="H903" s="12" t="s">
        <v>515</v>
      </c>
      <c r="I903" s="85">
        <f>IF(shinsei_IMPOSS4_NOTIFY_ID__LIMIT_DATE="","",shinsei_IMPOSS4_NOTIFY_ID__LIMIT_DATE)</f>
      </c>
    </row>
    <row r="904" spans="1:9" s="11" customFormat="1" ht="12.75" customHeight="1">
      <c r="A904" s="14"/>
      <c r="B904" s="13" t="s">
        <v>2650</v>
      </c>
      <c r="C904" s="13"/>
      <c r="D904" s="13"/>
      <c r="E904" s="13"/>
      <c r="F904" s="13" t="s">
        <v>469</v>
      </c>
      <c r="G904" s="14" t="s">
        <v>3409</v>
      </c>
      <c r="H904" s="12" t="s">
        <v>516</v>
      </c>
      <c r="I904" s="18">
        <f>IF(shinsei_IMPOSS4_NOTIFY_ID__NOTIFY_CAUSE="","",shinsei_IMPOSS4_NOTIFY_ID__NOTIFY_CAUSE)</f>
      </c>
    </row>
    <row r="905" spans="1:9" s="11" customFormat="1" ht="12.75" customHeight="1">
      <c r="A905" s="14"/>
      <c r="B905" s="13" t="s">
        <v>545</v>
      </c>
      <c r="C905" s="13"/>
      <c r="D905" s="13"/>
      <c r="E905" s="13"/>
      <c r="F905" s="13" t="s">
        <v>470</v>
      </c>
      <c r="G905" s="14" t="s">
        <v>3409</v>
      </c>
      <c r="H905" s="12" t="s">
        <v>517</v>
      </c>
      <c r="I905" s="18">
        <f>IF(shinsei_IMPOSS4_NOTIFY_ID__NOTIFY_NOTE="","",shinsei_IMPOSS4_NOTIFY_ID__NOTIFY_NOTE)</f>
      </c>
    </row>
    <row r="906" spans="1:6" s="11" customFormat="1" ht="12.75" customHeight="1">
      <c r="A906" s="13"/>
      <c r="B906" s="52"/>
      <c r="C906" s="52"/>
      <c r="D906" s="52"/>
      <c r="E906" s="52"/>
      <c r="F906" s="52" t="s">
        <v>3409</v>
      </c>
    </row>
    <row r="907" spans="1:9" s="11" customFormat="1" ht="12.75" customHeight="1">
      <c r="A907" s="71" t="s">
        <v>471</v>
      </c>
      <c r="B907" s="71"/>
      <c r="C907" s="71"/>
      <c r="D907" s="71"/>
      <c r="E907" s="71"/>
      <c r="F907" s="71" t="s">
        <v>3409</v>
      </c>
      <c r="G907" s="12"/>
      <c r="H907" s="12"/>
      <c r="I907" s="12"/>
    </row>
    <row r="908" spans="1:9" s="11" customFormat="1" ht="12.75" customHeight="1">
      <c r="A908" s="14"/>
      <c r="B908" s="13" t="s">
        <v>549</v>
      </c>
      <c r="C908" s="13"/>
      <c r="D908" s="13"/>
      <c r="E908" s="13"/>
      <c r="F908" s="13" t="s">
        <v>472</v>
      </c>
      <c r="G908" s="96"/>
      <c r="H908" s="12" t="s">
        <v>518</v>
      </c>
      <c r="I908" s="85">
        <f>IF(shinsei_IMPOSS4_NOTIFY_ID__REPORT_DATE="","",shinsei_IMPOSS4_NOTIFY_ID__REPORT_DATE)</f>
      </c>
    </row>
    <row r="909" spans="1:6" s="11" customFormat="1" ht="12.75" customHeight="1">
      <c r="A909" s="13"/>
      <c r="B909" s="52"/>
      <c r="C909" s="52"/>
      <c r="D909" s="52"/>
      <c r="E909" s="52"/>
      <c r="F909" s="52" t="s">
        <v>3409</v>
      </c>
    </row>
    <row r="910" spans="1:9" s="11" customFormat="1" ht="12.75" customHeight="1">
      <c r="A910" s="13" t="s">
        <v>551</v>
      </c>
      <c r="B910" s="13"/>
      <c r="C910" s="13"/>
      <c r="D910" s="13"/>
      <c r="E910" s="13"/>
      <c r="F910" s="13" t="s">
        <v>3409</v>
      </c>
      <c r="G910" s="12"/>
      <c r="H910" s="12"/>
      <c r="I910" s="12"/>
    </row>
    <row r="911" spans="1:9" s="11" customFormat="1" ht="12.75" customHeight="1">
      <c r="A911" s="13"/>
      <c r="B911" s="13" t="s">
        <v>552</v>
      </c>
      <c r="C911" s="13"/>
      <c r="D911" s="13"/>
      <c r="E911" s="13"/>
      <c r="F911" s="13" t="s">
        <v>3858</v>
      </c>
      <c r="G911" s="96"/>
      <c r="H911" s="63" t="s">
        <v>519</v>
      </c>
      <c r="I911" s="97">
        <f>IF(shinsei_IMPOSS4_NOTIFY_ID__STRUCTNOTIFT_NOTIFT_DATE="","",shinsei_IMPOSS4_NOTIFY_ID__STRUCTNOTIFT_NOTIFT_DATE)</f>
      </c>
    </row>
    <row r="912" spans="1:9" s="11" customFormat="1" ht="12.75" customHeight="1">
      <c r="A912" s="13"/>
      <c r="B912" s="13" t="s">
        <v>553</v>
      </c>
      <c r="C912" s="13"/>
      <c r="D912" s="13"/>
      <c r="E912" s="13"/>
      <c r="F912" s="13" t="s">
        <v>3859</v>
      </c>
      <c r="G912" s="14" t="s">
        <v>3409</v>
      </c>
      <c r="H912" s="63" t="s">
        <v>520</v>
      </c>
      <c r="I912" s="18">
        <f>IF(shinsei_IMPOSS4_NOTIFY_ID__STRUCTNOTIFT_NOTIFT_NO="","",shinsei_IMPOSS4_NOTIFY_ID__STRUCTNOTIFT_NOTIFT_NO)</f>
      </c>
    </row>
    <row r="913" spans="1:9" s="11" customFormat="1" ht="12.75" customHeight="1">
      <c r="A913" s="13"/>
      <c r="B913" s="13" t="s">
        <v>554</v>
      </c>
      <c r="C913" s="13"/>
      <c r="D913" s="13"/>
      <c r="E913" s="13"/>
      <c r="F913" s="13" t="s">
        <v>3860</v>
      </c>
      <c r="G913" s="96"/>
      <c r="H913" s="63" t="s">
        <v>521</v>
      </c>
      <c r="I913" s="97">
        <f>IF(shinsei_IMPOSS4_NOTIFY_ID__STRUCTNOTIFT_TUIKA_DATE="","",shinsei_IMPOSS4_NOTIFY_ID__STRUCTNOTIFT_TUIKA_DATE)</f>
      </c>
    </row>
    <row r="914" spans="1:9" s="11" customFormat="1" ht="12.75" customHeight="1">
      <c r="A914" s="13"/>
      <c r="B914" s="13" t="s">
        <v>555</v>
      </c>
      <c r="C914" s="13"/>
      <c r="D914" s="13"/>
      <c r="E914" s="13"/>
      <c r="F914" s="13" t="s">
        <v>3861</v>
      </c>
      <c r="G914" s="96"/>
      <c r="H914" s="63" t="s">
        <v>522</v>
      </c>
      <c r="I914" s="97">
        <f>IF(shinsei_IMPOSS4_NOTIFY_ID__STRUCTTUIKA_NOTIFT_DATE="","",shinsei_IMPOSS4_NOTIFY_ID__STRUCTTUIKA_NOTIFT_DATE)</f>
      </c>
    </row>
    <row r="915" spans="1:6" s="11" customFormat="1" ht="12.75" customHeight="1">
      <c r="A915" s="13"/>
      <c r="B915" s="52"/>
      <c r="C915" s="52"/>
      <c r="D915" s="52"/>
      <c r="E915" s="52"/>
      <c r="F915" s="52" t="s">
        <v>3409</v>
      </c>
    </row>
    <row r="916" spans="1:9" s="11" customFormat="1" ht="12.75" customHeight="1">
      <c r="A916" s="13"/>
      <c r="B916" s="13"/>
      <c r="C916" s="13"/>
      <c r="D916" s="13"/>
      <c r="E916" s="13"/>
      <c r="F916" s="13" t="s">
        <v>3409</v>
      </c>
      <c r="G916" s="12"/>
      <c r="H916" s="12"/>
      <c r="I916" s="12"/>
    </row>
    <row r="917" spans="1:9" s="11" customFormat="1" ht="12.75" customHeight="1">
      <c r="A917" s="71" t="s">
        <v>1877</v>
      </c>
      <c r="B917" s="71"/>
      <c r="C917" s="71"/>
      <c r="D917" s="71"/>
      <c r="E917" s="71"/>
      <c r="F917" s="71" t="s">
        <v>3409</v>
      </c>
      <c r="G917" s="18"/>
      <c r="H917" s="12"/>
      <c r="I917" s="12"/>
    </row>
    <row r="918" spans="1:9" s="11" customFormat="1" ht="12.75" customHeight="1">
      <c r="A918" s="14"/>
      <c r="B918" s="13" t="s">
        <v>538</v>
      </c>
      <c r="C918" s="13"/>
      <c r="D918" s="13"/>
      <c r="E918" s="13"/>
      <c r="F918" s="13" t="s">
        <v>1878</v>
      </c>
      <c r="G918" s="96"/>
      <c r="H918" s="12" t="s">
        <v>523</v>
      </c>
      <c r="I918" s="85">
        <f>IF(shinsei_IMPOSS5_NOTIFY_ID__NOTIFY_DATE="","",shinsei_IMPOSS5_NOTIFY_ID__NOTIFY_DATE)</f>
      </c>
    </row>
    <row r="919" spans="1:9" s="11" customFormat="1" ht="12.75" customHeight="1">
      <c r="A919" s="14"/>
      <c r="B919" s="13" t="s">
        <v>876</v>
      </c>
      <c r="C919" s="13"/>
      <c r="D919" s="13"/>
      <c r="E919" s="13"/>
      <c r="F919" s="13" t="s">
        <v>1879</v>
      </c>
      <c r="G919" s="14" t="s">
        <v>3409</v>
      </c>
      <c r="H919" s="12" t="s">
        <v>524</v>
      </c>
      <c r="I919" s="18">
        <f>IF(shinsei_IMPOSS5_NOTIFY_ID__KENSAIN_USER_ID="","",shinsei_IMPOSS5_NOTIFY_ID__KENSAIN_USER_ID)</f>
      </c>
    </row>
    <row r="920" spans="1:9" s="11" customFormat="1" ht="12.75" customHeight="1">
      <c r="A920" s="14"/>
      <c r="B920" s="13" t="s">
        <v>542</v>
      </c>
      <c r="C920" s="13"/>
      <c r="D920" s="13"/>
      <c r="E920" s="13"/>
      <c r="F920" s="13" t="s">
        <v>1880</v>
      </c>
      <c r="G920" s="96"/>
      <c r="H920" s="12" t="s">
        <v>1660</v>
      </c>
      <c r="I920" s="85">
        <f>IF(shinsei_IMPOSS5_NOTIFY_ID__LIMIT_DATE="","",shinsei_IMPOSS5_NOTIFY_ID__LIMIT_DATE)</f>
      </c>
    </row>
    <row r="921" spans="1:9" s="11" customFormat="1" ht="12.75" customHeight="1">
      <c r="A921" s="14"/>
      <c r="B921" s="13" t="s">
        <v>2650</v>
      </c>
      <c r="C921" s="13"/>
      <c r="D921" s="13"/>
      <c r="E921" s="13"/>
      <c r="F921" s="13" t="s">
        <v>1881</v>
      </c>
      <c r="G921" s="14" t="s">
        <v>3409</v>
      </c>
      <c r="H921" s="12" t="s">
        <v>1661</v>
      </c>
      <c r="I921" s="18">
        <f>IF(shinsei_IMPOSS5_NOTIFY_ID__NOTIFY_CAUSE="","",shinsei_IMPOSS5_NOTIFY_ID__NOTIFY_CAUSE)</f>
      </c>
    </row>
    <row r="922" spans="1:9" s="11" customFormat="1" ht="12.75" customHeight="1">
      <c r="A922" s="14"/>
      <c r="B922" s="13" t="s">
        <v>545</v>
      </c>
      <c r="C922" s="13"/>
      <c r="D922" s="13"/>
      <c r="E922" s="13"/>
      <c r="F922" s="13" t="s">
        <v>1882</v>
      </c>
      <c r="G922" s="14" t="s">
        <v>3409</v>
      </c>
      <c r="H922" s="12" t="s">
        <v>1662</v>
      </c>
      <c r="I922" s="18">
        <f>IF(shinsei_IMPOSS5_NOTIFY_ID__NOTIFY_NOTE="","",shinsei_IMPOSS5_NOTIFY_ID__NOTIFY_NOTE)</f>
      </c>
    </row>
    <row r="923" spans="1:6" s="11" customFormat="1" ht="12.75" customHeight="1">
      <c r="A923" s="13"/>
      <c r="B923" s="52"/>
      <c r="C923" s="52"/>
      <c r="D923" s="52"/>
      <c r="E923" s="52"/>
      <c r="F923" s="52" t="s">
        <v>3409</v>
      </c>
    </row>
    <row r="924" spans="1:9" s="11" customFormat="1" ht="12.75" customHeight="1">
      <c r="A924" s="71" t="s">
        <v>1883</v>
      </c>
      <c r="B924" s="71"/>
      <c r="C924" s="71"/>
      <c r="D924" s="71"/>
      <c r="E924" s="71"/>
      <c r="F924" s="71" t="s">
        <v>3409</v>
      </c>
      <c r="G924" s="12"/>
      <c r="H924" s="12"/>
      <c r="I924" s="12"/>
    </row>
    <row r="925" spans="1:9" s="11" customFormat="1" ht="12.75" customHeight="1">
      <c r="A925" s="14"/>
      <c r="B925" s="13" t="s">
        <v>549</v>
      </c>
      <c r="C925" s="13"/>
      <c r="D925" s="13"/>
      <c r="E925" s="13"/>
      <c r="F925" s="13" t="s">
        <v>1884</v>
      </c>
      <c r="G925" s="96"/>
      <c r="H925" s="12" t="s">
        <v>1663</v>
      </c>
      <c r="I925" s="85">
        <f>IF(shinsei_IMPOSS5_NOTIFY_ID__REPORT_DATE="","",shinsei_IMPOSS5_NOTIFY_ID__REPORT_DATE)</f>
      </c>
    </row>
    <row r="926" spans="1:6" s="11" customFormat="1" ht="12.75" customHeight="1">
      <c r="A926" s="13"/>
      <c r="B926" s="52"/>
      <c r="C926" s="52"/>
      <c r="D926" s="52"/>
      <c r="E926" s="52"/>
      <c r="F926" s="52" t="s">
        <v>3409</v>
      </c>
    </row>
    <row r="927" spans="1:9" s="11" customFormat="1" ht="12.75" customHeight="1">
      <c r="A927" s="13" t="s">
        <v>551</v>
      </c>
      <c r="B927" s="13"/>
      <c r="C927" s="13"/>
      <c r="D927" s="13"/>
      <c r="E927" s="13"/>
      <c r="F927" s="13" t="s">
        <v>3409</v>
      </c>
      <c r="G927" s="12"/>
      <c r="H927" s="12"/>
      <c r="I927" s="12"/>
    </row>
    <row r="928" spans="1:9" s="11" customFormat="1" ht="12.75" customHeight="1">
      <c r="A928" s="13"/>
      <c r="B928" s="13" t="s">
        <v>552</v>
      </c>
      <c r="C928" s="13"/>
      <c r="D928" s="13"/>
      <c r="E928" s="13"/>
      <c r="F928" s="13" t="s">
        <v>3862</v>
      </c>
      <c r="G928" s="96"/>
      <c r="H928" s="63" t="s">
        <v>1664</v>
      </c>
      <c r="I928" s="97">
        <f>IF(shinsei_IMPOSS5_NOTIFY_ID__STRUCTNOTIFT_NOTIFT_DATE="","",shinsei_IMPOSS5_NOTIFY_ID__STRUCTNOTIFT_NOTIFT_DATE)</f>
      </c>
    </row>
    <row r="929" spans="1:9" s="11" customFormat="1" ht="12.75" customHeight="1">
      <c r="A929" s="13"/>
      <c r="B929" s="13" t="s">
        <v>553</v>
      </c>
      <c r="C929" s="13"/>
      <c r="D929" s="13"/>
      <c r="E929" s="13"/>
      <c r="F929" s="13" t="s">
        <v>3863</v>
      </c>
      <c r="G929" s="14" t="s">
        <v>3409</v>
      </c>
      <c r="H929" s="63" t="s">
        <v>1665</v>
      </c>
      <c r="I929" s="18">
        <f>IF(shinsei_IMPOSS5_NOTIFY_ID__STRUCTNOTIFT_NOTIFT_NO="","",shinsei_IMPOSS5_NOTIFY_ID__STRUCTNOTIFT_NOTIFT_NO)</f>
      </c>
    </row>
    <row r="930" spans="1:9" s="11" customFormat="1" ht="12.75" customHeight="1">
      <c r="A930" s="13"/>
      <c r="B930" s="13" t="s">
        <v>554</v>
      </c>
      <c r="C930" s="13"/>
      <c r="D930" s="13"/>
      <c r="E930" s="13"/>
      <c r="F930" s="13" t="s">
        <v>3864</v>
      </c>
      <c r="G930" s="96"/>
      <c r="H930" s="63" t="s">
        <v>1666</v>
      </c>
      <c r="I930" s="97">
        <f>IF(shinsei_IMPOSS5_NOTIFY_ID__STRUCTNOTIFT_TUIKA_DATE="","",shinsei_IMPOSS5_NOTIFY_ID__STRUCTNOTIFT_TUIKA_DATE)</f>
      </c>
    </row>
    <row r="931" spans="1:9" s="11" customFormat="1" ht="12.75" customHeight="1">
      <c r="A931" s="13"/>
      <c r="B931" s="13" t="s">
        <v>555</v>
      </c>
      <c r="C931" s="13"/>
      <c r="D931" s="13"/>
      <c r="E931" s="13"/>
      <c r="F931" s="13" t="s">
        <v>3865</v>
      </c>
      <c r="G931" s="96"/>
      <c r="H931" s="63" t="s">
        <v>247</v>
      </c>
      <c r="I931" s="97">
        <f>IF(shinsei_IMPOSS5_NOTIFY_ID__STRUCTTUIKA_NOTIFT_DATE="","",shinsei_IMPOSS5_NOTIFY_ID__STRUCTTUIKA_NOTIFT_DATE)</f>
      </c>
    </row>
    <row r="932" spans="1:6" s="11" customFormat="1" ht="12.75" customHeight="1">
      <c r="A932" s="13"/>
      <c r="B932" s="52"/>
      <c r="C932" s="52"/>
      <c r="D932" s="52"/>
      <c r="E932" s="52"/>
      <c r="F932" s="52" t="s">
        <v>3409</v>
      </c>
    </row>
    <row r="933" spans="1:9" s="11" customFormat="1" ht="12.75" customHeight="1">
      <c r="A933" s="13"/>
      <c r="B933" s="13"/>
      <c r="C933" s="13"/>
      <c r="D933" s="13"/>
      <c r="E933" s="13"/>
      <c r="F933" s="13" t="s">
        <v>3409</v>
      </c>
      <c r="G933" s="12"/>
      <c r="H933" s="12"/>
      <c r="I933" s="12"/>
    </row>
    <row r="934" spans="1:9" s="11" customFormat="1" ht="12.75" customHeight="1">
      <c r="A934" s="71" t="s">
        <v>1885</v>
      </c>
      <c r="B934" s="71"/>
      <c r="C934" s="71"/>
      <c r="D934" s="71"/>
      <c r="E934" s="71"/>
      <c r="F934" s="71" t="s">
        <v>3409</v>
      </c>
      <c r="G934" s="18"/>
      <c r="H934" s="12"/>
      <c r="I934" s="12"/>
    </row>
    <row r="935" spans="1:9" s="11" customFormat="1" ht="12.75" customHeight="1">
      <c r="A935" s="14"/>
      <c r="B935" s="13" t="s">
        <v>538</v>
      </c>
      <c r="C935" s="13"/>
      <c r="D935" s="13"/>
      <c r="E935" s="13"/>
      <c r="F935" s="13" t="s">
        <v>1965</v>
      </c>
      <c r="G935" s="96"/>
      <c r="H935" s="12" t="s">
        <v>248</v>
      </c>
      <c r="I935" s="85">
        <f>IF(shinsei_IMPOSS6_NOTIFY_ID__NOTIFY_DATE="","",shinsei_IMPOSS6_NOTIFY_ID__NOTIFY_DATE)</f>
      </c>
    </row>
    <row r="936" spans="1:9" s="11" customFormat="1" ht="12.75" customHeight="1">
      <c r="A936" s="14"/>
      <c r="B936" s="13" t="s">
        <v>876</v>
      </c>
      <c r="C936" s="13"/>
      <c r="D936" s="13"/>
      <c r="E936" s="13"/>
      <c r="F936" s="13" t="s">
        <v>1966</v>
      </c>
      <c r="G936" s="14" t="s">
        <v>3409</v>
      </c>
      <c r="H936" s="12" t="s">
        <v>249</v>
      </c>
      <c r="I936" s="18">
        <f>IF(shinsei_IMPOSS6_NOTIFY_ID__KENSAIN_USER_ID="","",shinsei_IMPOSS6_NOTIFY_ID__KENSAIN_USER_ID)</f>
      </c>
    </row>
    <row r="937" spans="1:9" s="11" customFormat="1" ht="12.75" customHeight="1">
      <c r="A937" s="14"/>
      <c r="B937" s="13" t="s">
        <v>542</v>
      </c>
      <c r="C937" s="13"/>
      <c r="D937" s="13"/>
      <c r="E937" s="13"/>
      <c r="F937" s="13" t="s">
        <v>1967</v>
      </c>
      <c r="G937" s="96"/>
      <c r="H937" s="12" t="s">
        <v>250</v>
      </c>
      <c r="I937" s="85">
        <f>IF(shinsei_IMPOSS6_NOTIFY_ID__LIMIT_DATE="","",shinsei_IMPOSS6_NOTIFY_ID__LIMIT_DATE)</f>
      </c>
    </row>
    <row r="938" spans="1:9" s="11" customFormat="1" ht="12.75" customHeight="1">
      <c r="A938" s="14"/>
      <c r="B938" s="13" t="s">
        <v>2650</v>
      </c>
      <c r="C938" s="13"/>
      <c r="D938" s="13"/>
      <c r="E938" s="13"/>
      <c r="F938" s="13" t="s">
        <v>1968</v>
      </c>
      <c r="G938" s="14" t="s">
        <v>3409</v>
      </c>
      <c r="H938" s="12" t="s">
        <v>251</v>
      </c>
      <c r="I938" s="18">
        <f>IF(shinsei_IMPOSS6_NOTIFY_ID__NOTIFY_CAUSE="","",shinsei_IMPOSS6_NOTIFY_ID__NOTIFY_CAUSE)</f>
      </c>
    </row>
    <row r="939" spans="1:9" s="11" customFormat="1" ht="12.75" customHeight="1">
      <c r="A939" s="14"/>
      <c r="B939" s="13" t="s">
        <v>545</v>
      </c>
      <c r="C939" s="13"/>
      <c r="D939" s="13"/>
      <c r="E939" s="13"/>
      <c r="F939" s="13" t="s">
        <v>1969</v>
      </c>
      <c r="G939" s="14" t="s">
        <v>3409</v>
      </c>
      <c r="H939" s="12" t="s">
        <v>252</v>
      </c>
      <c r="I939" s="18">
        <f>IF(shinsei_IMPOSS6_NOTIFY_ID__NOTIFY_NOTE="","",shinsei_IMPOSS6_NOTIFY_ID__NOTIFY_NOTE)</f>
      </c>
    </row>
    <row r="940" spans="1:6" s="11" customFormat="1" ht="12.75" customHeight="1">
      <c r="A940" s="13"/>
      <c r="B940" s="52"/>
      <c r="C940" s="52"/>
      <c r="D940" s="52"/>
      <c r="E940" s="52"/>
      <c r="F940" s="52" t="s">
        <v>3409</v>
      </c>
    </row>
    <row r="941" spans="1:9" s="11" customFormat="1" ht="12.75" customHeight="1">
      <c r="A941" s="71" t="s">
        <v>1970</v>
      </c>
      <c r="B941" s="71"/>
      <c r="C941" s="71"/>
      <c r="D941" s="71"/>
      <c r="E941" s="71"/>
      <c r="F941" s="71" t="s">
        <v>3409</v>
      </c>
      <c r="G941" s="12"/>
      <c r="H941" s="12"/>
      <c r="I941" s="12"/>
    </row>
    <row r="942" spans="1:9" s="11" customFormat="1" ht="12.75" customHeight="1">
      <c r="A942" s="14"/>
      <c r="B942" s="13" t="s">
        <v>549</v>
      </c>
      <c r="C942" s="13"/>
      <c r="D942" s="13"/>
      <c r="E942" s="13"/>
      <c r="F942" s="13" t="s">
        <v>1971</v>
      </c>
      <c r="G942" s="96"/>
      <c r="H942" s="12" t="s">
        <v>253</v>
      </c>
      <c r="I942" s="85">
        <f>IF(shinsei_IMPOSS6_NOTIFY_ID__REPORT_DATE="","",shinsei_IMPOSS6_NOTIFY_ID__REPORT_DATE)</f>
      </c>
    </row>
    <row r="943" spans="1:6" s="11" customFormat="1" ht="12.75" customHeight="1">
      <c r="A943" s="13"/>
      <c r="B943" s="52"/>
      <c r="C943" s="52"/>
      <c r="D943" s="52"/>
      <c r="E943" s="52"/>
      <c r="F943" s="52" t="s">
        <v>3409</v>
      </c>
    </row>
    <row r="944" spans="1:9" s="11" customFormat="1" ht="12.75" customHeight="1">
      <c r="A944" s="13" t="s">
        <v>551</v>
      </c>
      <c r="B944" s="13"/>
      <c r="C944" s="13"/>
      <c r="D944" s="13"/>
      <c r="E944" s="13"/>
      <c r="F944" s="13" t="s">
        <v>3409</v>
      </c>
      <c r="G944" s="12"/>
      <c r="H944" s="12"/>
      <c r="I944" s="12"/>
    </row>
    <row r="945" spans="1:9" s="11" customFormat="1" ht="12.75" customHeight="1">
      <c r="A945" s="13"/>
      <c r="B945" s="13" t="s">
        <v>552</v>
      </c>
      <c r="C945" s="13"/>
      <c r="D945" s="13"/>
      <c r="E945" s="13"/>
      <c r="F945" s="13" t="s">
        <v>3866</v>
      </c>
      <c r="G945" s="96"/>
      <c r="H945" s="63" t="s">
        <v>747</v>
      </c>
      <c r="I945" s="97">
        <f>IF(shinsei_IMPOSS6_NOTIFY_ID__STRUCTNOTIFT_NOTIFT_DATE="","",shinsei_IMPOSS6_NOTIFY_ID__STRUCTNOTIFT_NOTIFT_DATE)</f>
      </c>
    </row>
    <row r="946" spans="1:9" s="11" customFormat="1" ht="12.75" customHeight="1">
      <c r="A946" s="13"/>
      <c r="B946" s="13" t="s">
        <v>553</v>
      </c>
      <c r="C946" s="13"/>
      <c r="D946" s="13"/>
      <c r="E946" s="13"/>
      <c r="F946" s="13" t="s">
        <v>3867</v>
      </c>
      <c r="G946" s="14" t="s">
        <v>3409</v>
      </c>
      <c r="H946" s="63" t="s">
        <v>748</v>
      </c>
      <c r="I946" s="18">
        <f>IF(shinsei_IMPOSS6_NOTIFY_ID__STRUCTNOTIFT_NOTIFT_NO="","",shinsei_IMPOSS6_NOTIFY_ID__STRUCTNOTIFT_NOTIFT_NO)</f>
      </c>
    </row>
    <row r="947" spans="1:9" s="11" customFormat="1" ht="12.75" customHeight="1">
      <c r="A947" s="13"/>
      <c r="B947" s="13" t="s">
        <v>554</v>
      </c>
      <c r="C947" s="13"/>
      <c r="D947" s="13"/>
      <c r="E947" s="13"/>
      <c r="F947" s="13" t="s">
        <v>3868</v>
      </c>
      <c r="G947" s="96"/>
      <c r="H947" s="63" t="s">
        <v>2303</v>
      </c>
      <c r="I947" s="97">
        <f>IF(shinsei_IMPOSS6_NOTIFY_ID__STRUCTNOTIFT_TUIKA_DATE="","",shinsei_IMPOSS6_NOTIFY_ID__STRUCTNOTIFT_TUIKA_DATE)</f>
      </c>
    </row>
    <row r="948" spans="1:9" s="11" customFormat="1" ht="12.75" customHeight="1">
      <c r="A948" s="13"/>
      <c r="B948" s="13" t="s">
        <v>555</v>
      </c>
      <c r="C948" s="13"/>
      <c r="D948" s="13"/>
      <c r="E948" s="13"/>
      <c r="F948" s="13" t="s">
        <v>3869</v>
      </c>
      <c r="G948" s="96"/>
      <c r="H948" s="63" t="s">
        <v>2969</v>
      </c>
      <c r="I948" s="97">
        <f>IF(shinsei_IMPOSS6_NOTIFY_ID__STRUCTTUIKA_NOTIFT_DATE="","",shinsei_IMPOSS6_NOTIFY_ID__STRUCTTUIKA_NOTIFT_DATE)</f>
      </c>
    </row>
    <row r="949" spans="1:6" s="11" customFormat="1" ht="12.75" customHeight="1">
      <c r="A949" s="13"/>
      <c r="B949" s="52"/>
      <c r="C949" s="52"/>
      <c r="D949" s="52"/>
      <c r="E949" s="52"/>
      <c r="F949" s="52" t="s">
        <v>3409</v>
      </c>
    </row>
    <row r="950" spans="1:9" s="11" customFormat="1" ht="12.75" customHeight="1">
      <c r="A950" s="13"/>
      <c r="B950" s="13"/>
      <c r="C950" s="13"/>
      <c r="D950" s="13"/>
      <c r="E950" s="13"/>
      <c r="F950" s="13" t="s">
        <v>3409</v>
      </c>
      <c r="G950" s="12"/>
      <c r="H950" s="12"/>
      <c r="I950" s="12"/>
    </row>
    <row r="951" spans="1:9" s="11" customFormat="1" ht="12.75" customHeight="1">
      <c r="A951" s="71" t="s">
        <v>1972</v>
      </c>
      <c r="B951" s="71"/>
      <c r="C951" s="71"/>
      <c r="D951" s="71"/>
      <c r="E951" s="71"/>
      <c r="F951" s="71" t="s">
        <v>3409</v>
      </c>
      <c r="G951" s="18"/>
      <c r="H951" s="12"/>
      <c r="I951" s="12"/>
    </row>
    <row r="952" spans="1:9" s="11" customFormat="1" ht="12.75" customHeight="1">
      <c r="A952" s="14"/>
      <c r="B952" s="13" t="s">
        <v>538</v>
      </c>
      <c r="C952" s="13"/>
      <c r="D952" s="13"/>
      <c r="E952" s="13"/>
      <c r="F952" s="13" t="s">
        <v>1973</v>
      </c>
      <c r="G952" s="96"/>
      <c r="H952" s="12" t="s">
        <v>2970</v>
      </c>
      <c r="I952" s="85">
        <f>IF(shinsei_IMPOSSX_NOTIFY_ID__NOTIFY_DATE="","",shinsei_IMPOSSX_NOTIFY_ID__NOTIFY_DATE)</f>
      </c>
    </row>
    <row r="953" spans="1:9" s="11" customFormat="1" ht="12.75" customHeight="1">
      <c r="A953" s="14"/>
      <c r="B953" s="13" t="s">
        <v>876</v>
      </c>
      <c r="C953" s="13"/>
      <c r="D953" s="13"/>
      <c r="E953" s="13"/>
      <c r="F953" s="13" t="s">
        <v>1974</v>
      </c>
      <c r="G953" s="14" t="s">
        <v>3409</v>
      </c>
      <c r="H953" s="12" t="s">
        <v>2971</v>
      </c>
      <c r="I953" s="18">
        <f>IF(shinsei_IMPOSSX_NOTIFY_ID__KENSAIN_USER_ID="","",shinsei_IMPOSSX_NOTIFY_ID__KENSAIN_USER_ID)</f>
      </c>
    </row>
    <row r="954" spans="1:9" s="11" customFormat="1" ht="12.75" customHeight="1">
      <c r="A954" s="14"/>
      <c r="B954" s="13" t="s">
        <v>2650</v>
      </c>
      <c r="C954" s="13"/>
      <c r="D954" s="13"/>
      <c r="E954" s="13"/>
      <c r="F954" s="13" t="s">
        <v>1975</v>
      </c>
      <c r="G954" s="14" t="s">
        <v>3409</v>
      </c>
      <c r="H954" s="12" t="s">
        <v>2391</v>
      </c>
      <c r="I954" s="18">
        <f>IF(shinsei_IMPOSSX_NOTIFY_ID__NOTIFY_CAUSE="","",shinsei_IMPOSSX_NOTIFY_ID__NOTIFY_CAUSE)</f>
      </c>
    </row>
    <row r="955" spans="1:9" s="11" customFormat="1" ht="12.75" customHeight="1">
      <c r="A955" s="14"/>
      <c r="B955" s="13" t="s">
        <v>545</v>
      </c>
      <c r="C955" s="13"/>
      <c r="D955" s="13"/>
      <c r="E955" s="13"/>
      <c r="F955" s="13" t="s">
        <v>1976</v>
      </c>
      <c r="G955" s="14" t="s">
        <v>3409</v>
      </c>
      <c r="H955" s="12" t="s">
        <v>2392</v>
      </c>
      <c r="I955" s="18">
        <f>IF(shinsei_IMPOSSX_NOTIFY_ID__NOTIFY_NOTE="","",shinsei_IMPOSSX_NOTIFY_ID__NOTIFY_NOTE)</f>
      </c>
    </row>
    <row r="956" spans="1:6" s="11" customFormat="1" ht="12.75" customHeight="1">
      <c r="A956" s="13"/>
      <c r="B956" s="52"/>
      <c r="C956" s="52"/>
      <c r="D956" s="52"/>
      <c r="E956" s="52"/>
      <c r="F956" s="52" t="s">
        <v>3409</v>
      </c>
    </row>
    <row r="957" spans="1:9" s="11" customFormat="1" ht="12.75" customHeight="1">
      <c r="A957" s="71" t="s">
        <v>1977</v>
      </c>
      <c r="B957" s="71"/>
      <c r="C957" s="71"/>
      <c r="D957" s="71"/>
      <c r="E957" s="71"/>
      <c r="F957" s="71" t="s">
        <v>3409</v>
      </c>
      <c r="G957" s="12"/>
      <c r="H957" s="12"/>
      <c r="I957" s="12"/>
    </row>
    <row r="958" spans="1:9" s="11" customFormat="1" ht="12.75" customHeight="1">
      <c r="A958" s="14"/>
      <c r="B958" s="13" t="s">
        <v>549</v>
      </c>
      <c r="C958" s="13"/>
      <c r="D958" s="13"/>
      <c r="E958" s="13"/>
      <c r="F958" s="13" t="s">
        <v>1978</v>
      </c>
      <c r="G958" s="96"/>
      <c r="H958" s="12" t="s">
        <v>2393</v>
      </c>
      <c r="I958" s="85">
        <f>IF(shinsei_IMPOSSX_NOTIFY_ID__REPORT_DATE="","",shinsei_IMPOSSX_NOTIFY_ID__REPORT_DATE)</f>
      </c>
    </row>
    <row r="959" spans="1:6" s="11" customFormat="1" ht="12.75" customHeight="1">
      <c r="A959" s="13"/>
      <c r="B959" s="52"/>
      <c r="C959" s="52"/>
      <c r="D959" s="52"/>
      <c r="E959" s="52"/>
      <c r="F959" s="52" t="s">
        <v>3409</v>
      </c>
    </row>
    <row r="960" spans="1:9" s="11" customFormat="1" ht="12.75" customHeight="1">
      <c r="A960" s="13" t="s">
        <v>551</v>
      </c>
      <c r="B960" s="13"/>
      <c r="C960" s="13"/>
      <c r="D960" s="13"/>
      <c r="E960" s="13"/>
      <c r="F960" s="13" t="s">
        <v>3409</v>
      </c>
      <c r="G960" s="12"/>
      <c r="H960" s="12"/>
      <c r="I960" s="12"/>
    </row>
    <row r="961" spans="1:9" s="11" customFormat="1" ht="12.75" customHeight="1">
      <c r="A961" s="13"/>
      <c r="B961" s="13" t="s">
        <v>552</v>
      </c>
      <c r="C961" s="13"/>
      <c r="D961" s="13"/>
      <c r="E961" s="13"/>
      <c r="F961" s="13" t="s">
        <v>3870</v>
      </c>
      <c r="G961" s="96"/>
      <c r="H961" s="98" t="s">
        <v>556</v>
      </c>
      <c r="I961" s="97">
        <f>IF(shinsei_IMPOSSX_NOTIFY_ID__STRUCTNOTIFT_NOTIFT_DATE="","",shinsei_IMPOSSX_NOTIFY_ID__STRUCTNOTIFT_NOTIFT_DATE)</f>
      </c>
    </row>
    <row r="962" spans="1:9" s="11" customFormat="1" ht="12.75" customHeight="1">
      <c r="A962" s="13"/>
      <c r="B962" s="13" t="s">
        <v>553</v>
      </c>
      <c r="C962" s="13"/>
      <c r="D962" s="13"/>
      <c r="E962" s="13"/>
      <c r="F962" s="13" t="s">
        <v>3871</v>
      </c>
      <c r="G962" s="14" t="s">
        <v>3409</v>
      </c>
      <c r="H962" s="98" t="s">
        <v>1280</v>
      </c>
      <c r="I962" s="18">
        <f>IF(shinsei_IMPOSSX_NOTIFY_ID__STRUCTNOTIFT_NOTIFT_NO="","",shinsei_IMPOSSX_NOTIFY_ID__STRUCTNOTIFT_NOTIFT_NO)</f>
      </c>
    </row>
    <row r="963" spans="1:9" s="11" customFormat="1" ht="12.75" customHeight="1">
      <c r="A963" s="13"/>
      <c r="B963" s="13" t="s">
        <v>554</v>
      </c>
      <c r="C963" s="13"/>
      <c r="D963" s="13"/>
      <c r="E963" s="13"/>
      <c r="F963" s="13" t="s">
        <v>3872</v>
      </c>
      <c r="G963" s="96"/>
      <c r="H963" s="98" t="s">
        <v>1281</v>
      </c>
      <c r="I963" s="97">
        <f>IF(shinsei_IMPOSSX_NOTIFY_ID__STRUCTNOTIFT_TUIKA_DATE="","",shinsei_IMPOSSX_NOTIFY_ID__STRUCTNOTIFT_TUIKA_DATE)</f>
      </c>
    </row>
    <row r="964" spans="1:9" s="11" customFormat="1" ht="12.75" customHeight="1">
      <c r="A964" s="13"/>
      <c r="B964" s="13" t="s">
        <v>555</v>
      </c>
      <c r="C964" s="13"/>
      <c r="D964" s="13"/>
      <c r="E964" s="13"/>
      <c r="F964" s="13" t="s">
        <v>3873</v>
      </c>
      <c r="G964" s="96"/>
      <c r="H964" s="98" t="s">
        <v>1282</v>
      </c>
      <c r="I964" s="97">
        <f>IF(shinsei_IMPOSSX_NOTIFY_ID__STRUCTTUIKA_NOTIFT_DATE="","",shinsei_IMPOSSX_NOTIFY_ID__STRUCTTUIKA_NOTIFT_DATE)</f>
      </c>
    </row>
    <row r="965" spans="1:6" s="11" customFormat="1" ht="12.75" customHeight="1">
      <c r="A965" s="13"/>
      <c r="B965" s="52"/>
      <c r="C965" s="52"/>
      <c r="D965" s="52"/>
      <c r="E965" s="52"/>
      <c r="F965" s="52" t="s">
        <v>3409</v>
      </c>
    </row>
    <row r="966" spans="1:9" s="11" customFormat="1" ht="12.75" customHeight="1">
      <c r="A966" s="13"/>
      <c r="B966" s="13"/>
      <c r="C966" s="13"/>
      <c r="D966" s="13"/>
      <c r="E966" s="13"/>
      <c r="F966" s="13" t="s">
        <v>3409</v>
      </c>
      <c r="G966" s="12"/>
      <c r="H966" s="12"/>
      <c r="I966" s="12"/>
    </row>
    <row r="967" spans="1:9" s="11" customFormat="1" ht="12.75" customHeight="1">
      <c r="A967" s="71" t="s">
        <v>1979</v>
      </c>
      <c r="B967" s="71"/>
      <c r="C967" s="71"/>
      <c r="D967" s="71"/>
      <c r="E967" s="71"/>
      <c r="F967" s="71" t="s">
        <v>3409</v>
      </c>
      <c r="G967" s="12"/>
      <c r="H967" s="12"/>
      <c r="I967" s="12"/>
    </row>
    <row r="968" spans="1:9" s="11" customFormat="1" ht="12.75" customHeight="1">
      <c r="A968" s="71" t="s">
        <v>1980</v>
      </c>
      <c r="B968" s="71"/>
      <c r="C968" s="71"/>
      <c r="D968" s="71"/>
      <c r="E968" s="71"/>
      <c r="F968" s="71" t="s">
        <v>3409</v>
      </c>
      <c r="G968" s="12"/>
      <c r="H968" s="12"/>
      <c r="I968" s="12"/>
    </row>
    <row r="969" spans="1:9" s="11" customFormat="1" ht="12.75" customHeight="1">
      <c r="A969" s="14"/>
      <c r="B969" s="13" t="s">
        <v>538</v>
      </c>
      <c r="C969" s="13"/>
      <c r="D969" s="13"/>
      <c r="E969" s="13"/>
      <c r="F969" s="13" t="s">
        <v>1981</v>
      </c>
      <c r="G969" s="96"/>
      <c r="H969" s="12" t="s">
        <v>1283</v>
      </c>
      <c r="I969" s="85">
        <f>IF(shinsei_NG_NOTIFY_DATE="","",shinsei_NG_NOTIFY_DATE)</f>
      </c>
    </row>
    <row r="970" spans="1:9" s="11" customFormat="1" ht="12.75" customHeight="1">
      <c r="A970" s="14"/>
      <c r="B970" s="13" t="s">
        <v>876</v>
      </c>
      <c r="C970" s="13"/>
      <c r="D970" s="13"/>
      <c r="E970" s="13"/>
      <c r="F970" s="13" t="s">
        <v>1982</v>
      </c>
      <c r="G970" s="14" t="s">
        <v>3409</v>
      </c>
      <c r="H970" s="12" t="s">
        <v>408</v>
      </c>
      <c r="I970" s="18">
        <f>IF(shinsei_NG_NOTIFY_USER_ID="","",shinsei_NG_NOTIFY_USER_ID)</f>
      </c>
    </row>
    <row r="971" spans="1:9" s="11" customFormat="1" ht="12.75" customHeight="1">
      <c r="A971" s="14"/>
      <c r="B971" s="13" t="s">
        <v>1983</v>
      </c>
      <c r="C971" s="13"/>
      <c r="D971" s="13"/>
      <c r="E971" s="13"/>
      <c r="F971" s="13" t="s">
        <v>3874</v>
      </c>
      <c r="G971" s="96"/>
      <c r="H971" s="12" t="s">
        <v>409</v>
      </c>
      <c r="I971" s="85">
        <f>IF(shinsei_NG_NOTIFY_KENSA_DATE="","",shinsei_NG_NOTIFY_KENSA_DATE)</f>
      </c>
    </row>
    <row r="972" spans="1:9" s="11" customFormat="1" ht="12.75" customHeight="1">
      <c r="A972" s="14"/>
      <c r="B972" s="13" t="s">
        <v>542</v>
      </c>
      <c r="C972" s="13"/>
      <c r="D972" s="13"/>
      <c r="E972" s="13"/>
      <c r="F972" s="13" t="s">
        <v>1984</v>
      </c>
      <c r="G972" s="96"/>
      <c r="H972" s="12" t="s">
        <v>410</v>
      </c>
      <c r="I972" s="85">
        <f>IF(shinsei_NG_NOTIFY_LIMIT_DATE="","",shinsei_NG_NOTIFY_LIMIT_DATE)</f>
      </c>
    </row>
    <row r="973" spans="1:9" s="11" customFormat="1" ht="12.75" customHeight="1">
      <c r="A973" s="14"/>
      <c r="B973" s="13" t="s">
        <v>2650</v>
      </c>
      <c r="C973" s="13"/>
      <c r="D973" s="13"/>
      <c r="E973" s="13"/>
      <c r="F973" s="13" t="s">
        <v>1985</v>
      </c>
      <c r="G973" s="81"/>
      <c r="H973" s="12" t="s">
        <v>411</v>
      </c>
      <c r="I973" s="18">
        <f>IF(shinsei_NG_NOTIFY_CAUSE="","",shinsei_NG_NOTIFY_CAUSE)</f>
      </c>
    </row>
    <row r="974" spans="1:9" s="11" customFormat="1" ht="12.75" customHeight="1">
      <c r="A974" s="14"/>
      <c r="B974" s="13" t="s">
        <v>545</v>
      </c>
      <c r="C974" s="13"/>
      <c r="D974" s="13"/>
      <c r="E974" s="13"/>
      <c r="F974" s="13" t="s">
        <v>1986</v>
      </c>
      <c r="G974" s="14" t="s">
        <v>3409</v>
      </c>
      <c r="H974" s="12" t="s">
        <v>412</v>
      </c>
      <c r="I974" s="18">
        <f>IF(shinsei_NG_NOTIFY_BIKO="","",shinsei_NG_NOTIFY_BIKO)</f>
      </c>
    </row>
    <row r="975" spans="1:6" s="11" customFormat="1" ht="12.75" customHeight="1">
      <c r="A975" s="13"/>
      <c r="B975" s="52"/>
      <c r="C975" s="52"/>
      <c r="D975" s="52"/>
      <c r="E975" s="52"/>
      <c r="F975" s="52" t="s">
        <v>3409</v>
      </c>
    </row>
    <row r="976" spans="1:9" s="11" customFormat="1" ht="12.75" customHeight="1">
      <c r="A976" s="71" t="s">
        <v>1987</v>
      </c>
      <c r="B976" s="71"/>
      <c r="C976" s="71"/>
      <c r="D976" s="71"/>
      <c r="E976" s="71"/>
      <c r="F976" s="71" t="s">
        <v>3409</v>
      </c>
      <c r="G976" s="12"/>
      <c r="H976" s="12"/>
      <c r="I976" s="12"/>
    </row>
    <row r="977" spans="1:9" s="11" customFormat="1" ht="12.75" customHeight="1">
      <c r="A977" s="71" t="s">
        <v>413</v>
      </c>
      <c r="B977" s="71"/>
      <c r="C977" s="71"/>
      <c r="D977" s="71"/>
      <c r="E977" s="71"/>
      <c r="F977" s="71" t="s">
        <v>3409</v>
      </c>
      <c r="G977" s="12"/>
      <c r="H977" s="12"/>
      <c r="I977" s="12"/>
    </row>
    <row r="978" spans="1:9" s="11" customFormat="1" ht="12.75" customHeight="1">
      <c r="A978" s="14"/>
      <c r="B978" s="13" t="s">
        <v>549</v>
      </c>
      <c r="C978" s="13"/>
      <c r="D978" s="13"/>
      <c r="E978" s="13"/>
      <c r="F978" s="13" t="s">
        <v>1988</v>
      </c>
      <c r="G978" s="96"/>
      <c r="H978" s="12" t="s">
        <v>414</v>
      </c>
      <c r="I978" s="85">
        <f>IF(shinsei_NG_REPORT_DATE="","",shinsei_NG_REPORT_DATE)</f>
      </c>
    </row>
    <row r="979" spans="1:6" s="11" customFormat="1" ht="12.75" customHeight="1">
      <c r="A979" s="13"/>
      <c r="B979" s="52"/>
      <c r="C979" s="52"/>
      <c r="D979" s="52"/>
      <c r="E979" s="52"/>
      <c r="F979" s="52" t="s">
        <v>3409</v>
      </c>
    </row>
    <row r="980" spans="1:9" s="11" customFormat="1" ht="12.75" customHeight="1">
      <c r="A980" s="13" t="s">
        <v>551</v>
      </c>
      <c r="B980" s="13"/>
      <c r="C980" s="13"/>
      <c r="D980" s="13"/>
      <c r="E980" s="13"/>
      <c r="F980" s="13" t="s">
        <v>3409</v>
      </c>
      <c r="G980" s="12"/>
      <c r="H980" s="12"/>
      <c r="I980" s="12"/>
    </row>
    <row r="981" spans="1:9" s="11" customFormat="1" ht="12.75" customHeight="1">
      <c r="A981" s="13"/>
      <c r="B981" s="13" t="s">
        <v>552</v>
      </c>
      <c r="C981" s="13"/>
      <c r="D981" s="13"/>
      <c r="E981" s="13"/>
      <c r="F981" s="13" t="s">
        <v>3875</v>
      </c>
      <c r="G981" s="96"/>
      <c r="H981" s="98" t="s">
        <v>415</v>
      </c>
      <c r="I981" s="97">
        <f>IF(shinsei_NG1_NOTIFY_ID__STRUCTNOTIFT_NOTIFT_DATE="","",shinsei_NG1_NOTIFY_ID__STRUCTNOTIFT_NOTIFT_DATE)</f>
      </c>
    </row>
    <row r="982" spans="1:9" s="11" customFormat="1" ht="12.75" customHeight="1">
      <c r="A982" s="13"/>
      <c r="B982" s="13" t="s">
        <v>553</v>
      </c>
      <c r="C982" s="13"/>
      <c r="D982" s="13"/>
      <c r="E982" s="13"/>
      <c r="F982" s="13" t="s">
        <v>3876</v>
      </c>
      <c r="G982" s="14" t="s">
        <v>3409</v>
      </c>
      <c r="H982" s="98" t="s">
        <v>416</v>
      </c>
      <c r="I982" s="18">
        <f>IF(shinsei_NG1_NOTIFY_ID__STRUCTNOTIFT_NOTIFT_NO="","",shinsei_NG1_NOTIFY_ID__STRUCTNOTIFT_NOTIFT_NO)</f>
      </c>
    </row>
    <row r="983" spans="1:9" s="11" customFormat="1" ht="12.75" customHeight="1">
      <c r="A983" s="13"/>
      <c r="B983" s="13" t="s">
        <v>554</v>
      </c>
      <c r="C983" s="13"/>
      <c r="D983" s="13"/>
      <c r="E983" s="13"/>
      <c r="F983" s="13" t="s">
        <v>3877</v>
      </c>
      <c r="G983" s="96"/>
      <c r="H983" s="98" t="s">
        <v>417</v>
      </c>
      <c r="I983" s="97">
        <f>IF(shinsei_NG1_NOTIFY_ID__STRUCTNOTIFT_TUIKA_DATE="","",shinsei_NG1_NOTIFY_ID__STRUCTNOTIFT_TUIKA_DATE)</f>
      </c>
    </row>
    <row r="984" spans="1:9" s="11" customFormat="1" ht="12.75" customHeight="1">
      <c r="A984" s="13"/>
      <c r="B984" s="13" t="s">
        <v>555</v>
      </c>
      <c r="C984" s="13"/>
      <c r="D984" s="13"/>
      <c r="E984" s="13"/>
      <c r="F984" s="13" t="s">
        <v>3878</v>
      </c>
      <c r="G984" s="96"/>
      <c r="H984" s="98" t="s">
        <v>418</v>
      </c>
      <c r="I984" s="97">
        <f>IF(shinsei_NG1_NOTIFY_ID__STRUCTTUIKA_NOTIFT_DATE="","",shinsei_NG1_NOTIFY_ID__STRUCTTUIKA_NOTIFT_DATE)</f>
      </c>
    </row>
    <row r="985" spans="1:6" s="11" customFormat="1" ht="12.75" customHeight="1">
      <c r="A985" s="13"/>
      <c r="B985" s="52"/>
      <c r="C985" s="52"/>
      <c r="D985" s="52"/>
      <c r="E985" s="52"/>
      <c r="F985" s="52" t="s">
        <v>3409</v>
      </c>
    </row>
    <row r="986" spans="1:9" s="11" customFormat="1" ht="12.75" customHeight="1">
      <c r="A986" s="13"/>
      <c r="B986" s="13"/>
      <c r="C986" s="13"/>
      <c r="D986" s="13"/>
      <c r="E986" s="13"/>
      <c r="F986" s="13" t="s">
        <v>3409</v>
      </c>
      <c r="G986" s="12"/>
      <c r="H986" s="12"/>
      <c r="I986" s="12"/>
    </row>
    <row r="987" spans="1:9" s="11" customFormat="1" ht="12.75" customHeight="1">
      <c r="A987" s="71" t="s">
        <v>1989</v>
      </c>
      <c r="B987" s="71"/>
      <c r="C987" s="71"/>
      <c r="D987" s="71"/>
      <c r="E987" s="71"/>
      <c r="F987" s="71" t="s">
        <v>3409</v>
      </c>
      <c r="G987" s="12"/>
      <c r="H987" s="12"/>
      <c r="I987" s="12"/>
    </row>
    <row r="988" spans="1:9" s="11" customFormat="1" ht="12.75" customHeight="1">
      <c r="A988" s="14"/>
      <c r="B988" s="13" t="s">
        <v>538</v>
      </c>
      <c r="C988" s="13"/>
      <c r="D988" s="13"/>
      <c r="E988" s="13"/>
      <c r="F988" s="13" t="s">
        <v>1990</v>
      </c>
      <c r="G988" s="96"/>
      <c r="H988" s="12" t="s">
        <v>419</v>
      </c>
      <c r="I988" s="85">
        <f>IF(shinsei_NG2_NOTIFY_ID__NOTIFY_DATE="","",shinsei_NG2_NOTIFY_ID__NOTIFY_DATE)</f>
      </c>
    </row>
    <row r="989" spans="1:9" s="11" customFormat="1" ht="12.75" customHeight="1">
      <c r="A989" s="14"/>
      <c r="B989" s="13" t="s">
        <v>876</v>
      </c>
      <c r="C989" s="13"/>
      <c r="D989" s="13"/>
      <c r="E989" s="13"/>
      <c r="F989" s="13" t="s">
        <v>2230</v>
      </c>
      <c r="G989" s="14" t="s">
        <v>3409</v>
      </c>
      <c r="H989" s="12" t="s">
        <v>420</v>
      </c>
      <c r="I989" s="18">
        <f>IF(shinsei_NG2_NOTIFY_ID__KENSAIN_USER_ID="","",shinsei_NG2_NOTIFY_ID__KENSAIN_USER_ID)</f>
      </c>
    </row>
    <row r="990" spans="1:9" s="11" customFormat="1" ht="12.75" customHeight="1">
      <c r="A990" s="14"/>
      <c r="B990" s="13" t="s">
        <v>1983</v>
      </c>
      <c r="C990" s="13"/>
      <c r="D990" s="13"/>
      <c r="E990" s="13"/>
      <c r="F990" s="13" t="s">
        <v>2231</v>
      </c>
      <c r="G990" s="96"/>
      <c r="H990" s="12" t="s">
        <v>421</v>
      </c>
      <c r="I990" s="85">
        <f>IF(shinsei_NG2_NOTIFY_ID__KENSA_DATE="","",shinsei_NG2_NOTIFY_ID__KENSA_DATE)</f>
      </c>
    </row>
    <row r="991" spans="1:9" s="11" customFormat="1" ht="12.75" customHeight="1">
      <c r="A991" s="14"/>
      <c r="B991" s="13" t="s">
        <v>542</v>
      </c>
      <c r="C991" s="13"/>
      <c r="D991" s="13"/>
      <c r="E991" s="13"/>
      <c r="F991" s="13" t="s">
        <v>2232</v>
      </c>
      <c r="G991" s="96"/>
      <c r="H991" s="12" t="s">
        <v>422</v>
      </c>
      <c r="I991" s="85">
        <f>IF(shinsei_NG2_NOTIFY_ID__LIMIT_DATE="","",shinsei_NG2_NOTIFY_ID__LIMIT_DATE)</f>
      </c>
    </row>
    <row r="992" spans="1:9" s="11" customFormat="1" ht="12.75" customHeight="1">
      <c r="A992" s="14"/>
      <c r="B992" s="13" t="s">
        <v>2650</v>
      </c>
      <c r="C992" s="13"/>
      <c r="D992" s="13"/>
      <c r="E992" s="13"/>
      <c r="F992" s="13" t="s">
        <v>3002</v>
      </c>
      <c r="G992" s="14" t="s">
        <v>3409</v>
      </c>
      <c r="H992" s="12" t="s">
        <v>423</v>
      </c>
      <c r="I992" s="18">
        <f>IF(shinsei_NG2_NOTIFY_ID__NOTIFY_CAUSE="","",shinsei_NG2_NOTIFY_ID__NOTIFY_CAUSE)</f>
      </c>
    </row>
    <row r="993" spans="1:9" s="11" customFormat="1" ht="12.75" customHeight="1">
      <c r="A993" s="14"/>
      <c r="B993" s="13" t="s">
        <v>545</v>
      </c>
      <c r="C993" s="13"/>
      <c r="D993" s="13"/>
      <c r="E993" s="13"/>
      <c r="F993" s="13" t="s">
        <v>3003</v>
      </c>
      <c r="G993" s="14" t="s">
        <v>3409</v>
      </c>
      <c r="H993" s="12" t="s">
        <v>424</v>
      </c>
      <c r="I993" s="18">
        <f>IF(shinsei_NG2_NOTIFY_ID__NOTIFY_NOTE="","",shinsei_NG2_NOTIFY_ID__NOTIFY_NOTE)</f>
      </c>
    </row>
    <row r="994" spans="1:6" s="11" customFormat="1" ht="12.75" customHeight="1">
      <c r="A994" s="13"/>
      <c r="B994" s="52"/>
      <c r="C994" s="52"/>
      <c r="D994" s="52"/>
      <c r="E994" s="52"/>
      <c r="F994" s="52" t="s">
        <v>3409</v>
      </c>
    </row>
    <row r="995" spans="1:9" s="11" customFormat="1" ht="12.75" customHeight="1">
      <c r="A995" s="71" t="s">
        <v>425</v>
      </c>
      <c r="B995" s="71"/>
      <c r="C995" s="71"/>
      <c r="D995" s="71"/>
      <c r="E995" s="71"/>
      <c r="F995" s="71" t="s">
        <v>3409</v>
      </c>
      <c r="G995" s="12"/>
      <c r="H995" s="12"/>
      <c r="I995" s="12"/>
    </row>
    <row r="996" spans="1:9" s="11" customFormat="1" ht="12.75" customHeight="1">
      <c r="A996" s="14"/>
      <c r="B996" s="13" t="s">
        <v>549</v>
      </c>
      <c r="C996" s="13"/>
      <c r="D996" s="13"/>
      <c r="E996" s="13"/>
      <c r="F996" s="13" t="s">
        <v>3879</v>
      </c>
      <c r="G996" s="96"/>
      <c r="H996" s="12" t="s">
        <v>426</v>
      </c>
      <c r="I996" s="85">
        <f>IF(shinsei_NG2_NOTIFY_ID__REPORT_DATE="","",shinsei_NG2_NOTIFY_ID__REPORT_DATE)</f>
      </c>
    </row>
    <row r="997" spans="1:6" s="11" customFormat="1" ht="12.75" customHeight="1">
      <c r="A997" s="13"/>
      <c r="B997" s="52"/>
      <c r="C997" s="52"/>
      <c r="D997" s="52"/>
      <c r="E997" s="52"/>
      <c r="F997" s="52" t="s">
        <v>3409</v>
      </c>
    </row>
    <row r="998" spans="1:9" s="11" customFormat="1" ht="12.75" customHeight="1">
      <c r="A998" s="13"/>
      <c r="B998" s="13"/>
      <c r="C998" s="13"/>
      <c r="D998" s="13"/>
      <c r="E998" s="13"/>
      <c r="F998" s="13" t="s">
        <v>3409</v>
      </c>
      <c r="G998" s="12"/>
      <c r="H998" s="12"/>
      <c r="I998" s="12"/>
    </row>
    <row r="999" spans="1:9" s="11" customFormat="1" ht="12.75" customHeight="1">
      <c r="A999" s="71" t="s">
        <v>3004</v>
      </c>
      <c r="B999" s="71"/>
      <c r="C999" s="71"/>
      <c r="D999" s="71"/>
      <c r="E999" s="71"/>
      <c r="F999" s="71" t="s">
        <v>3409</v>
      </c>
      <c r="G999" s="12"/>
      <c r="H999" s="12"/>
      <c r="I999" s="12"/>
    </row>
    <row r="1000" spans="1:9" s="11" customFormat="1" ht="12.75" customHeight="1">
      <c r="A1000" s="14"/>
      <c r="B1000" s="13" t="s">
        <v>538</v>
      </c>
      <c r="C1000" s="13"/>
      <c r="D1000" s="13"/>
      <c r="E1000" s="13"/>
      <c r="F1000" s="13" t="s">
        <v>3005</v>
      </c>
      <c r="G1000" s="96"/>
      <c r="H1000" s="12" t="s">
        <v>427</v>
      </c>
      <c r="I1000" s="85">
        <f>IF(shinsei_NG3_NOTIFY_ID__NOTIFY_DATE="","",shinsei_NG3_NOTIFY_ID__NOTIFY_DATE)</f>
      </c>
    </row>
    <row r="1001" spans="1:9" s="11" customFormat="1" ht="12.75" customHeight="1">
      <c r="A1001" s="14"/>
      <c r="B1001" s="13" t="s">
        <v>876</v>
      </c>
      <c r="C1001" s="13"/>
      <c r="D1001" s="13"/>
      <c r="E1001" s="13"/>
      <c r="F1001" s="13" t="s">
        <v>3006</v>
      </c>
      <c r="G1001" s="14" t="s">
        <v>3409</v>
      </c>
      <c r="H1001" s="12" t="s">
        <v>428</v>
      </c>
      <c r="I1001" s="18">
        <f>IF(shinsei_NG3_NOTIFY_ID__KENSAIN_USER_ID="","",shinsei_NG3_NOTIFY_ID__KENSAIN_USER_ID)</f>
      </c>
    </row>
    <row r="1002" spans="1:9" s="11" customFormat="1" ht="12.75" customHeight="1">
      <c r="A1002" s="14"/>
      <c r="B1002" s="13" t="s">
        <v>1983</v>
      </c>
      <c r="C1002" s="13"/>
      <c r="D1002" s="13"/>
      <c r="E1002" s="13"/>
      <c r="F1002" s="13" t="s">
        <v>3007</v>
      </c>
      <c r="G1002" s="96"/>
      <c r="H1002" s="12" t="s">
        <v>429</v>
      </c>
      <c r="I1002" s="85">
        <f>IF(shinsei_NG3_NOTIFY_ID__KENSA_DATE="","",shinsei_NG3_NOTIFY_ID__KENSA_DATE)</f>
      </c>
    </row>
    <row r="1003" spans="1:9" s="11" customFormat="1" ht="12.75" customHeight="1">
      <c r="A1003" s="14"/>
      <c r="B1003" s="13" t="s">
        <v>542</v>
      </c>
      <c r="C1003" s="13"/>
      <c r="D1003" s="13"/>
      <c r="E1003" s="13"/>
      <c r="F1003" s="13" t="s">
        <v>3008</v>
      </c>
      <c r="G1003" s="96"/>
      <c r="H1003" s="12" t="s">
        <v>430</v>
      </c>
      <c r="I1003" s="85">
        <f>IF(shinsei_NG3_NOTIFY_ID__LIMIT_DATE="","",shinsei_NG3_NOTIFY_ID__LIMIT_DATE)</f>
      </c>
    </row>
    <row r="1004" spans="1:9" s="11" customFormat="1" ht="12.75" customHeight="1">
      <c r="A1004" s="14"/>
      <c r="B1004" s="13" t="s">
        <v>2650</v>
      </c>
      <c r="C1004" s="13"/>
      <c r="D1004" s="13"/>
      <c r="E1004" s="13"/>
      <c r="F1004" s="13" t="s">
        <v>3009</v>
      </c>
      <c r="G1004" s="14" t="s">
        <v>3409</v>
      </c>
      <c r="H1004" s="12" t="s">
        <v>431</v>
      </c>
      <c r="I1004" s="18">
        <f>IF(shinsei_NG3_NOTIFY_ID__NOTIFY_CAUSE="","",shinsei_NG3_NOTIFY_ID__NOTIFY_CAUSE)</f>
      </c>
    </row>
    <row r="1005" spans="1:9" s="11" customFormat="1" ht="12.75" customHeight="1">
      <c r="A1005" s="14"/>
      <c r="B1005" s="13" t="s">
        <v>545</v>
      </c>
      <c r="C1005" s="13"/>
      <c r="D1005" s="13"/>
      <c r="E1005" s="13"/>
      <c r="F1005" s="13" t="s">
        <v>3010</v>
      </c>
      <c r="G1005" s="14" t="s">
        <v>3409</v>
      </c>
      <c r="H1005" s="12" t="s">
        <v>432</v>
      </c>
      <c r="I1005" s="18">
        <f>IF(shinsei_NG3_NOTIFY_ID__NOTIFY_NOTE="","",shinsei_NG3_NOTIFY_ID__NOTIFY_NOTE)</f>
      </c>
    </row>
    <row r="1006" spans="1:6" s="11" customFormat="1" ht="12.75" customHeight="1">
      <c r="A1006" s="13"/>
      <c r="B1006" s="52"/>
      <c r="C1006" s="52"/>
      <c r="D1006" s="52"/>
      <c r="E1006" s="52"/>
      <c r="F1006" s="52" t="s">
        <v>3409</v>
      </c>
    </row>
    <row r="1007" spans="1:9" s="11" customFormat="1" ht="12.75" customHeight="1">
      <c r="A1007" s="71" t="s">
        <v>433</v>
      </c>
      <c r="B1007" s="71"/>
      <c r="C1007" s="71"/>
      <c r="D1007" s="71"/>
      <c r="E1007" s="71"/>
      <c r="F1007" s="71" t="s">
        <v>3409</v>
      </c>
      <c r="G1007" s="12"/>
      <c r="H1007" s="12"/>
      <c r="I1007" s="12"/>
    </row>
    <row r="1008" spans="1:9" s="11" customFormat="1" ht="12.75" customHeight="1">
      <c r="A1008" s="14"/>
      <c r="B1008" s="13" t="s">
        <v>3011</v>
      </c>
      <c r="C1008" s="13"/>
      <c r="D1008" s="13"/>
      <c r="E1008" s="13"/>
      <c r="F1008" s="13" t="s">
        <v>3880</v>
      </c>
      <c r="G1008" s="96"/>
      <c r="H1008" s="12" t="s">
        <v>2737</v>
      </c>
      <c r="I1008" s="85">
        <f>IF(shinsei_NG3_NOTIFY_ID__REPORT_DATE="","",shinsei_NG3_NOTIFY_ID__REPORT_DATE)</f>
      </c>
    </row>
    <row r="1009" spans="1:6" s="11" customFormat="1" ht="12.75" customHeight="1">
      <c r="A1009" s="13"/>
      <c r="B1009" s="52"/>
      <c r="C1009" s="52"/>
      <c r="D1009" s="52"/>
      <c r="E1009" s="52"/>
      <c r="F1009" s="52" t="s">
        <v>3409</v>
      </c>
    </row>
    <row r="1010" spans="1:9" s="11" customFormat="1" ht="12.75" customHeight="1">
      <c r="A1010" s="13"/>
      <c r="B1010" s="13"/>
      <c r="C1010" s="13"/>
      <c r="D1010" s="13"/>
      <c r="E1010" s="13"/>
      <c r="F1010" s="13" t="s">
        <v>3409</v>
      </c>
      <c r="G1010" s="12"/>
      <c r="H1010" s="12"/>
      <c r="I1010" s="12"/>
    </row>
    <row r="1011" spans="1:9" s="11" customFormat="1" ht="12.75" customHeight="1">
      <c r="A1011" s="71" t="s">
        <v>1955</v>
      </c>
      <c r="B1011" s="71"/>
      <c r="C1011" s="71"/>
      <c r="D1011" s="71"/>
      <c r="E1011" s="71"/>
      <c r="F1011" s="71" t="s">
        <v>3409</v>
      </c>
      <c r="G1011" s="12"/>
      <c r="H1011" s="12"/>
      <c r="I1011" s="12"/>
    </row>
    <row r="1012" spans="1:9" s="11" customFormat="1" ht="12.75" customHeight="1">
      <c r="A1012" s="14"/>
      <c r="B1012" s="13" t="s">
        <v>538</v>
      </c>
      <c r="C1012" s="13"/>
      <c r="D1012" s="13"/>
      <c r="E1012" s="13"/>
      <c r="F1012" s="13" t="s">
        <v>1956</v>
      </c>
      <c r="G1012" s="96"/>
      <c r="H1012" s="12" t="s">
        <v>2738</v>
      </c>
      <c r="I1012" s="85">
        <f>IF(shinsei_NGX_NOTIFY_ID__NOTIFY_DATE="","",shinsei_NGX_NOTIFY_ID__NOTIFY_DATE)</f>
      </c>
    </row>
    <row r="1013" spans="1:9" s="11" customFormat="1" ht="12.75" customHeight="1">
      <c r="A1013" s="14"/>
      <c r="B1013" s="13" t="s">
        <v>876</v>
      </c>
      <c r="C1013" s="13"/>
      <c r="D1013" s="13"/>
      <c r="E1013" s="13"/>
      <c r="F1013" s="13" t="s">
        <v>1957</v>
      </c>
      <c r="G1013" s="14" t="s">
        <v>3409</v>
      </c>
      <c r="H1013" s="12" t="s">
        <v>2739</v>
      </c>
      <c r="I1013" s="18">
        <f>IF(shinsei_NGX_NOTIFY_ID__KENSAIN_USER_ID="","",shinsei_NGX_NOTIFY_ID__KENSAIN_USER_ID)</f>
      </c>
    </row>
    <row r="1014" spans="1:9" s="11" customFormat="1" ht="12.75" customHeight="1">
      <c r="A1014" s="14"/>
      <c r="B1014" s="13" t="s">
        <v>1983</v>
      </c>
      <c r="C1014" s="13"/>
      <c r="D1014" s="13"/>
      <c r="E1014" s="13"/>
      <c r="F1014" s="13" t="s">
        <v>1958</v>
      </c>
      <c r="G1014" s="96"/>
      <c r="H1014" s="12" t="s">
        <v>2740</v>
      </c>
      <c r="I1014" s="85">
        <f>IF(shinsei_NGX_NOTIFY_ID__KENSA_DATE="","",shinsei_NGX_NOTIFY_ID__KENSA_DATE)</f>
      </c>
    </row>
    <row r="1015" spans="1:9" s="11" customFormat="1" ht="12.75" customHeight="1">
      <c r="A1015" s="14"/>
      <c r="B1015" s="13" t="s">
        <v>2650</v>
      </c>
      <c r="C1015" s="13"/>
      <c r="D1015" s="13"/>
      <c r="E1015" s="13"/>
      <c r="F1015" s="13" t="s">
        <v>1959</v>
      </c>
      <c r="G1015" s="14" t="s">
        <v>3409</v>
      </c>
      <c r="H1015" s="12" t="s">
        <v>2741</v>
      </c>
      <c r="I1015" s="18">
        <f>IF(shinsei_NGX_NOTIFY_ID__NOTIFY_CAUSE="","",shinsei_NGX_NOTIFY_ID__NOTIFY_CAUSE)</f>
      </c>
    </row>
    <row r="1016" spans="1:9" s="11" customFormat="1" ht="12.75" customHeight="1">
      <c r="A1016" s="14"/>
      <c r="B1016" s="13" t="s">
        <v>545</v>
      </c>
      <c r="C1016" s="13"/>
      <c r="D1016" s="13"/>
      <c r="E1016" s="13"/>
      <c r="F1016" s="13" t="s">
        <v>3881</v>
      </c>
      <c r="G1016" s="14" t="s">
        <v>3409</v>
      </c>
      <c r="H1016" s="12" t="s">
        <v>2742</v>
      </c>
      <c r="I1016" s="18">
        <f>IF(shinsei_NGX_NOTIFY_ID__NOTIFY_NOTE="","",shinsei_NGX_NOTIFY_ID__NOTIFY_NOTE)</f>
      </c>
    </row>
    <row r="1017" spans="1:6" s="11" customFormat="1" ht="12.75" customHeight="1">
      <c r="A1017" s="13"/>
      <c r="B1017" s="52"/>
      <c r="C1017" s="52"/>
      <c r="D1017" s="52"/>
      <c r="E1017" s="52"/>
      <c r="F1017" s="52" t="s">
        <v>3409</v>
      </c>
    </row>
    <row r="1018" spans="1:9" s="11" customFormat="1" ht="12.75" customHeight="1">
      <c r="A1018" s="71" t="s">
        <v>1960</v>
      </c>
      <c r="B1018" s="71"/>
      <c r="C1018" s="71"/>
      <c r="D1018" s="71"/>
      <c r="E1018" s="71"/>
      <c r="F1018" s="71" t="s">
        <v>3409</v>
      </c>
      <c r="G1018" s="12"/>
      <c r="H1018" s="12"/>
      <c r="I1018" s="12"/>
    </row>
    <row r="1019" spans="1:9" s="11" customFormat="1" ht="12.75" customHeight="1">
      <c r="A1019" s="14"/>
      <c r="B1019" s="13" t="s">
        <v>3011</v>
      </c>
      <c r="C1019" s="13"/>
      <c r="D1019" s="13"/>
      <c r="E1019" s="13"/>
      <c r="F1019" s="13" t="s">
        <v>1961</v>
      </c>
      <c r="G1019" s="96"/>
      <c r="H1019" s="12" t="s">
        <v>2743</v>
      </c>
      <c r="I1019" s="85">
        <f>IF(shinsei_NGX_NOTIFY_ID__REPORT_DATE="","",shinsei_NGX_NOTIFY_ID__REPORT_DATE)</f>
      </c>
    </row>
    <row r="1020" spans="1:9" s="11" customFormat="1" ht="12.75" customHeight="1">
      <c r="A1020" s="14"/>
      <c r="B1020" s="13" t="s">
        <v>1962</v>
      </c>
      <c r="C1020" s="13"/>
      <c r="D1020" s="13"/>
      <c r="E1020" s="13"/>
      <c r="F1020" s="13" t="s">
        <v>2866</v>
      </c>
      <c r="G1020" s="14" t="s">
        <v>3409</v>
      </c>
      <c r="H1020" s="12" t="s">
        <v>2744</v>
      </c>
      <c r="I1020" s="18">
        <f>IF(shinsei_KENSA_NG_CAUSE="","",shinsei_KENSA_NG_CAUSE)</f>
      </c>
    </row>
    <row r="1021" spans="1:6" s="11" customFormat="1" ht="12.75" customHeight="1">
      <c r="A1021" s="13"/>
      <c r="B1021" s="52"/>
      <c r="C1021" s="52"/>
      <c r="D1021" s="52"/>
      <c r="E1021" s="52"/>
      <c r="F1021" s="52" t="s">
        <v>3409</v>
      </c>
    </row>
    <row r="1022" spans="1:6" s="11" customFormat="1" ht="12.75" customHeight="1">
      <c r="A1022" s="13"/>
      <c r="B1022" s="52"/>
      <c r="C1022" s="52"/>
      <c r="D1022" s="52"/>
      <c r="E1022" s="52"/>
      <c r="F1022" s="52" t="s">
        <v>3409</v>
      </c>
    </row>
    <row r="1023" spans="1:7" s="11" customFormat="1" ht="12.75" customHeight="1">
      <c r="A1023" s="53" t="s">
        <v>1523</v>
      </c>
      <c r="B1023" s="53"/>
      <c r="C1023" s="53"/>
      <c r="D1023" s="53"/>
      <c r="E1023" s="53"/>
      <c r="F1023" s="53" t="s">
        <v>3409</v>
      </c>
      <c r="G1023" s="12"/>
    </row>
    <row r="1024" spans="1:6" s="11" customFormat="1" ht="12.75" customHeight="1">
      <c r="A1024" s="13"/>
      <c r="B1024" s="52"/>
      <c r="C1024" s="52"/>
      <c r="D1024" s="52"/>
      <c r="E1024" s="52"/>
      <c r="F1024" s="52" t="s">
        <v>3409</v>
      </c>
    </row>
    <row r="1025" spans="1:12" s="383" customFormat="1" ht="12.75" customHeight="1">
      <c r="A1025" s="384" t="s">
        <v>1063</v>
      </c>
      <c r="B1025" s="384"/>
      <c r="C1025" s="17"/>
      <c r="H1025" s="12"/>
      <c r="I1025" s="12"/>
      <c r="J1025" s="12"/>
      <c r="K1025" s="12"/>
      <c r="L1025" s="12"/>
    </row>
    <row r="1026" spans="2:12" s="383" customFormat="1" ht="12.75" customHeight="1">
      <c r="B1026" s="383" t="s">
        <v>1044</v>
      </c>
      <c r="C1026" s="12"/>
      <c r="E1026" s="61"/>
      <c r="H1026" s="12"/>
      <c r="I1026" s="12"/>
      <c r="J1026" s="12"/>
      <c r="K1026" s="12"/>
      <c r="L1026" s="12"/>
    </row>
    <row r="1027" spans="3:13" s="383" customFormat="1" ht="12.75" customHeight="1">
      <c r="C1027" s="383" t="s">
        <v>1045</v>
      </c>
      <c r="F1027" s="383" t="s">
        <v>1064</v>
      </c>
      <c r="G1027" s="385"/>
      <c r="K1027" s="12"/>
      <c r="L1027" s="12"/>
      <c r="M1027" s="12"/>
    </row>
    <row r="1028" spans="3:13" s="383" customFormat="1" ht="12.75" customHeight="1">
      <c r="C1028" s="383" t="s">
        <v>1046</v>
      </c>
      <c r="F1028" s="383" t="s">
        <v>1065</v>
      </c>
      <c r="G1028" s="8" t="s">
        <v>3409</v>
      </c>
      <c r="K1028" s="12"/>
      <c r="L1028" s="12"/>
      <c r="M1028" s="12"/>
    </row>
    <row r="1029" spans="3:13" s="383" customFormat="1" ht="12.75" customHeight="1">
      <c r="C1029" s="383" t="s">
        <v>1047</v>
      </c>
      <c r="F1029" s="383" t="s">
        <v>1066</v>
      </c>
      <c r="G1029" s="8" t="s">
        <v>3409</v>
      </c>
      <c r="I1029" s="12"/>
      <c r="K1029" s="12"/>
      <c r="L1029" s="12"/>
      <c r="M1029" s="12"/>
    </row>
    <row r="1030" spans="3:13" s="383" customFormat="1" ht="12.75" customHeight="1">
      <c r="C1030" s="383" t="s">
        <v>1048</v>
      </c>
      <c r="F1030" s="383" t="s">
        <v>1067</v>
      </c>
      <c r="G1030" s="385"/>
      <c r="K1030" s="12"/>
      <c r="L1030" s="12"/>
      <c r="M1030" s="12"/>
    </row>
    <row r="1031" spans="3:7" s="383" customFormat="1" ht="12.75" customHeight="1">
      <c r="C1031" s="383" t="s">
        <v>1049</v>
      </c>
      <c r="F1031" s="383" t="s">
        <v>1068</v>
      </c>
      <c r="G1031" s="385"/>
    </row>
    <row r="1032" spans="3:7" s="12" customFormat="1" ht="12.75" customHeight="1">
      <c r="C1032" s="12" t="s">
        <v>545</v>
      </c>
      <c r="F1032" s="12" t="s">
        <v>1069</v>
      </c>
      <c r="G1032" s="8" t="s">
        <v>3409</v>
      </c>
    </row>
    <row r="1033" spans="3:7" s="12" customFormat="1" ht="12.75" customHeight="1">
      <c r="C1033" s="12" t="s">
        <v>1050</v>
      </c>
      <c r="F1033" s="12" t="s">
        <v>1070</v>
      </c>
      <c r="G1033" s="8" t="s">
        <v>3409</v>
      </c>
    </row>
    <row r="1034" spans="2:7" s="12" customFormat="1" ht="12.75" customHeight="1">
      <c r="B1034" s="12" t="s">
        <v>1051</v>
      </c>
      <c r="G1034" s="11"/>
    </row>
    <row r="1035" spans="3:7" s="12" customFormat="1" ht="12.75" customHeight="1">
      <c r="C1035" s="12" t="s">
        <v>1052</v>
      </c>
      <c r="F1035" s="12" t="s">
        <v>1071</v>
      </c>
      <c r="G1035" s="8" t="s">
        <v>3409</v>
      </c>
    </row>
    <row r="1036" spans="3:7" s="12" customFormat="1" ht="12.75" customHeight="1">
      <c r="C1036" s="12" t="s">
        <v>1053</v>
      </c>
      <c r="F1036" s="12" t="s">
        <v>1072</v>
      </c>
      <c r="G1036" s="385"/>
    </row>
    <row r="1037" spans="3:7" s="12" customFormat="1" ht="12.75" customHeight="1">
      <c r="C1037" s="12" t="s">
        <v>1054</v>
      </c>
      <c r="F1037" s="12" t="s">
        <v>1073</v>
      </c>
      <c r="G1037" s="8" t="s">
        <v>3409</v>
      </c>
    </row>
    <row r="1038" spans="3:7" s="12" customFormat="1" ht="12.75" customHeight="1">
      <c r="C1038" s="12" t="s">
        <v>1055</v>
      </c>
      <c r="F1038" s="12" t="s">
        <v>1074</v>
      </c>
      <c r="G1038" s="8" t="s">
        <v>3409</v>
      </c>
    </row>
    <row r="1039" spans="3:7" s="12" customFormat="1" ht="12.75" customHeight="1">
      <c r="C1039" s="12" t="s">
        <v>545</v>
      </c>
      <c r="F1039" s="12" t="s">
        <v>1075</v>
      </c>
      <c r="G1039" s="8" t="s">
        <v>3409</v>
      </c>
    </row>
    <row r="1040" spans="3:7" s="12" customFormat="1" ht="12.75" customHeight="1">
      <c r="C1040" s="12" t="s">
        <v>1056</v>
      </c>
      <c r="F1040" s="12" t="s">
        <v>1076</v>
      </c>
      <c r="G1040" s="385"/>
    </row>
    <row r="1041" spans="3:7" s="12" customFormat="1" ht="12.75" customHeight="1">
      <c r="C1041" s="12" t="s">
        <v>1057</v>
      </c>
      <c r="F1041" s="12" t="s">
        <v>1077</v>
      </c>
      <c r="G1041" s="8" t="s">
        <v>3409</v>
      </c>
    </row>
    <row r="1042" spans="2:7" s="12" customFormat="1" ht="12.75" customHeight="1">
      <c r="B1042" s="12" t="s">
        <v>1058</v>
      </c>
      <c r="G1042" s="11"/>
    </row>
    <row r="1043" spans="3:7" s="12" customFormat="1" ht="12.75" customHeight="1">
      <c r="C1043" s="12" t="s">
        <v>1053</v>
      </c>
      <c r="F1043" s="12" t="s">
        <v>2877</v>
      </c>
      <c r="G1043" s="385"/>
    </row>
    <row r="1044" spans="3:7" s="12" customFormat="1" ht="12.75" customHeight="1">
      <c r="C1044" s="12" t="s">
        <v>1059</v>
      </c>
      <c r="F1044" s="12" t="s">
        <v>2878</v>
      </c>
      <c r="G1044" s="385"/>
    </row>
    <row r="1045" spans="3:7" s="12" customFormat="1" ht="12.75" customHeight="1">
      <c r="C1045" s="12" t="s">
        <v>1060</v>
      </c>
      <c r="F1045" s="12" t="s">
        <v>2879</v>
      </c>
      <c r="G1045" s="8" t="s">
        <v>3409</v>
      </c>
    </row>
    <row r="1046" spans="3:7" s="12" customFormat="1" ht="12.75" customHeight="1">
      <c r="C1046" s="12" t="s">
        <v>1061</v>
      </c>
      <c r="F1046" s="12" t="s">
        <v>2880</v>
      </c>
      <c r="G1046" s="385"/>
    </row>
    <row r="1047" spans="2:7" s="12" customFormat="1" ht="12.75" customHeight="1">
      <c r="B1047" s="12" t="s">
        <v>1062</v>
      </c>
      <c r="F1047" s="12" t="s">
        <v>2881</v>
      </c>
      <c r="G1047" s="8" t="s">
        <v>3409</v>
      </c>
    </row>
    <row r="1048" s="12" customFormat="1" ht="12.75" customHeight="1">
      <c r="G1048" s="11"/>
    </row>
    <row r="1049" spans="1:14" s="383" customFormat="1" ht="12.75" customHeight="1">
      <c r="A1049" s="384" t="s">
        <v>2882</v>
      </c>
      <c r="B1049" s="384"/>
      <c r="C1049" s="17"/>
      <c r="D1049" s="17"/>
      <c r="E1049" s="17"/>
      <c r="G1049" s="61"/>
      <c r="K1049" s="12"/>
      <c r="L1049" s="12"/>
      <c r="M1049" s="12"/>
      <c r="N1049" s="12"/>
    </row>
    <row r="1050" spans="2:14" s="383" customFormat="1" ht="12.75" customHeight="1">
      <c r="B1050" s="383" t="s">
        <v>1044</v>
      </c>
      <c r="C1050" s="12"/>
      <c r="D1050" s="12"/>
      <c r="E1050" s="12"/>
      <c r="G1050" s="61"/>
      <c r="K1050" s="12"/>
      <c r="L1050" s="12"/>
      <c r="M1050" s="12"/>
      <c r="N1050" s="12"/>
    </row>
    <row r="1051" spans="3:13" s="383" customFormat="1" ht="12.75" customHeight="1">
      <c r="C1051" s="383" t="s">
        <v>1045</v>
      </c>
      <c r="F1051" s="383" t="s">
        <v>2883</v>
      </c>
      <c r="G1051" s="385"/>
      <c r="K1051" s="12"/>
      <c r="L1051" s="12"/>
      <c r="M1051" s="12"/>
    </row>
    <row r="1052" spans="3:13" s="383" customFormat="1" ht="12.75" customHeight="1">
      <c r="C1052" s="383" t="s">
        <v>1046</v>
      </c>
      <c r="F1052" s="383" t="s">
        <v>2884</v>
      </c>
      <c r="G1052" s="8" t="s">
        <v>3409</v>
      </c>
      <c r="K1052" s="12"/>
      <c r="L1052" s="12"/>
      <c r="M1052" s="12"/>
    </row>
    <row r="1053" spans="3:13" s="383" customFormat="1" ht="12.75" customHeight="1">
      <c r="C1053" s="383" t="s">
        <v>1047</v>
      </c>
      <c r="F1053" s="383" t="s">
        <v>2885</v>
      </c>
      <c r="G1053" s="8" t="s">
        <v>3409</v>
      </c>
      <c r="I1053" s="12"/>
      <c r="K1053" s="12"/>
      <c r="L1053" s="12"/>
      <c r="M1053" s="12"/>
    </row>
    <row r="1054" spans="3:13" s="383" customFormat="1" ht="12.75" customHeight="1">
      <c r="C1054" s="383" t="s">
        <v>1048</v>
      </c>
      <c r="F1054" s="383" t="s">
        <v>2886</v>
      </c>
      <c r="G1054" s="385"/>
      <c r="K1054" s="12"/>
      <c r="L1054" s="12"/>
      <c r="M1054" s="12"/>
    </row>
    <row r="1055" spans="3:7" s="383" customFormat="1" ht="12.75" customHeight="1">
      <c r="C1055" s="383" t="s">
        <v>1049</v>
      </c>
      <c r="F1055" s="383" t="s">
        <v>2887</v>
      </c>
      <c r="G1055" s="385"/>
    </row>
    <row r="1056" spans="3:7" s="12" customFormat="1" ht="12.75" customHeight="1">
      <c r="C1056" s="12" t="s">
        <v>545</v>
      </c>
      <c r="F1056" s="12" t="s">
        <v>2888</v>
      </c>
      <c r="G1056" s="8" t="s">
        <v>3409</v>
      </c>
    </row>
    <row r="1057" spans="3:7" s="12" customFormat="1" ht="12.75" customHeight="1">
      <c r="C1057" s="12" t="s">
        <v>1050</v>
      </c>
      <c r="F1057" s="12" t="s">
        <v>2889</v>
      </c>
      <c r="G1057" s="8" t="s">
        <v>3409</v>
      </c>
    </row>
    <row r="1058" spans="2:7" s="12" customFormat="1" ht="12.75" customHeight="1">
      <c r="B1058" s="12" t="s">
        <v>1051</v>
      </c>
      <c r="G1058" s="11"/>
    </row>
    <row r="1059" spans="3:7" s="12" customFormat="1" ht="12.75" customHeight="1">
      <c r="C1059" s="12" t="s">
        <v>1052</v>
      </c>
      <c r="F1059" s="12" t="s">
        <v>2890</v>
      </c>
      <c r="G1059" s="8" t="s">
        <v>3409</v>
      </c>
    </row>
    <row r="1060" spans="3:7" s="12" customFormat="1" ht="12.75" customHeight="1">
      <c r="C1060" s="12" t="s">
        <v>1053</v>
      </c>
      <c r="F1060" s="12" t="s">
        <v>2891</v>
      </c>
      <c r="G1060" s="385"/>
    </row>
    <row r="1061" spans="3:7" s="12" customFormat="1" ht="12.75" customHeight="1">
      <c r="C1061" s="12" t="s">
        <v>1054</v>
      </c>
      <c r="F1061" s="12" t="s">
        <v>2892</v>
      </c>
      <c r="G1061" s="8" t="s">
        <v>3409</v>
      </c>
    </row>
    <row r="1062" spans="3:7" s="12" customFormat="1" ht="12.75" customHeight="1">
      <c r="C1062" s="12" t="s">
        <v>1055</v>
      </c>
      <c r="F1062" s="12" t="s">
        <v>2893</v>
      </c>
      <c r="G1062" s="8" t="s">
        <v>3409</v>
      </c>
    </row>
    <row r="1063" spans="3:7" s="12" customFormat="1" ht="12.75" customHeight="1">
      <c r="C1063" s="12" t="s">
        <v>545</v>
      </c>
      <c r="F1063" s="12" t="s">
        <v>2894</v>
      </c>
      <c r="G1063" s="8" t="s">
        <v>3409</v>
      </c>
    </row>
    <row r="1064" spans="3:7" s="12" customFormat="1" ht="12.75" customHeight="1">
      <c r="C1064" s="12" t="s">
        <v>1056</v>
      </c>
      <c r="F1064" s="12" t="s">
        <v>2895</v>
      </c>
      <c r="G1064" s="385"/>
    </row>
    <row r="1065" spans="3:7" s="12" customFormat="1" ht="12.75" customHeight="1">
      <c r="C1065" s="12" t="s">
        <v>1057</v>
      </c>
      <c r="F1065" s="12" t="s">
        <v>2896</v>
      </c>
      <c r="G1065" s="8" t="s">
        <v>3409</v>
      </c>
    </row>
    <row r="1066" spans="2:7" s="12" customFormat="1" ht="12.75" customHeight="1">
      <c r="B1066" s="12" t="s">
        <v>1058</v>
      </c>
      <c r="G1066" s="11"/>
    </row>
    <row r="1067" spans="3:7" s="12" customFormat="1" ht="12.75" customHeight="1">
      <c r="C1067" s="12" t="s">
        <v>1053</v>
      </c>
      <c r="F1067" s="12" t="s">
        <v>2897</v>
      </c>
      <c r="G1067" s="385"/>
    </row>
    <row r="1068" spans="3:7" s="12" customFormat="1" ht="12.75" customHeight="1">
      <c r="C1068" s="12" t="s">
        <v>2898</v>
      </c>
      <c r="F1068" s="12" t="s">
        <v>2899</v>
      </c>
      <c r="G1068" s="385"/>
    </row>
    <row r="1069" spans="3:7" s="12" customFormat="1" ht="12.75" customHeight="1">
      <c r="C1069" s="12" t="s">
        <v>1060</v>
      </c>
      <c r="F1069" s="12" t="s">
        <v>2900</v>
      </c>
      <c r="G1069" s="8" t="s">
        <v>3409</v>
      </c>
    </row>
    <row r="1070" spans="3:7" s="12" customFormat="1" ht="12.75" customHeight="1">
      <c r="C1070" s="12" t="s">
        <v>1061</v>
      </c>
      <c r="F1070" s="12" t="s">
        <v>2901</v>
      </c>
      <c r="G1070" s="385"/>
    </row>
    <row r="1071" spans="2:7" s="12" customFormat="1" ht="12.75" customHeight="1">
      <c r="B1071" s="12" t="s">
        <v>1062</v>
      </c>
      <c r="F1071" s="12" t="s">
        <v>2902</v>
      </c>
      <c r="G1071" s="8" t="s">
        <v>3409</v>
      </c>
    </row>
    <row r="1072" s="12" customFormat="1" ht="12.75" customHeight="1">
      <c r="G1072" s="11"/>
    </row>
    <row r="1073" spans="1:14" s="383" customFormat="1" ht="12.75" customHeight="1">
      <c r="A1073" s="384" t="s">
        <v>2903</v>
      </c>
      <c r="B1073" s="384"/>
      <c r="C1073" s="17"/>
      <c r="D1073" s="17"/>
      <c r="E1073" s="17"/>
      <c r="G1073" s="61"/>
      <c r="K1073" s="12"/>
      <c r="L1073" s="12"/>
      <c r="M1073" s="12"/>
      <c r="N1073" s="12"/>
    </row>
    <row r="1074" spans="2:14" s="383" customFormat="1" ht="12.75" customHeight="1">
      <c r="B1074" s="383" t="s">
        <v>1044</v>
      </c>
      <c r="C1074" s="12"/>
      <c r="D1074" s="12"/>
      <c r="E1074" s="12"/>
      <c r="G1074" s="61"/>
      <c r="K1074" s="12"/>
      <c r="L1074" s="12"/>
      <c r="M1074" s="12"/>
      <c r="N1074" s="12"/>
    </row>
    <row r="1075" spans="3:13" s="383" customFormat="1" ht="12.75" customHeight="1">
      <c r="C1075" s="383" t="s">
        <v>1045</v>
      </c>
      <c r="F1075" s="383" t="s">
        <v>2904</v>
      </c>
      <c r="G1075" s="385"/>
      <c r="K1075" s="12"/>
      <c r="L1075" s="12"/>
      <c r="M1075" s="12"/>
    </row>
    <row r="1076" spans="3:13" s="383" customFormat="1" ht="12.75" customHeight="1">
      <c r="C1076" s="383" t="s">
        <v>1046</v>
      </c>
      <c r="F1076" s="383" t="s">
        <v>2905</v>
      </c>
      <c r="G1076" s="8" t="s">
        <v>3409</v>
      </c>
      <c r="K1076" s="12"/>
      <c r="L1076" s="12"/>
      <c r="M1076" s="12"/>
    </row>
    <row r="1077" spans="3:13" s="383" customFormat="1" ht="12.75" customHeight="1">
      <c r="C1077" s="383" t="s">
        <v>1047</v>
      </c>
      <c r="F1077" s="383" t="s">
        <v>2906</v>
      </c>
      <c r="G1077" s="8" t="s">
        <v>3409</v>
      </c>
      <c r="I1077" s="12"/>
      <c r="K1077" s="12"/>
      <c r="L1077" s="12"/>
      <c r="M1077" s="12"/>
    </row>
    <row r="1078" spans="3:13" s="383" customFormat="1" ht="12.75" customHeight="1">
      <c r="C1078" s="383" t="s">
        <v>1048</v>
      </c>
      <c r="F1078" s="383" t="s">
        <v>2907</v>
      </c>
      <c r="G1078" s="385"/>
      <c r="K1078" s="12"/>
      <c r="L1078" s="12"/>
      <c r="M1078" s="12"/>
    </row>
    <row r="1079" spans="3:7" s="383" customFormat="1" ht="12.75" customHeight="1">
      <c r="C1079" s="383" t="s">
        <v>1049</v>
      </c>
      <c r="F1079" s="383" t="s">
        <v>2908</v>
      </c>
      <c r="G1079" s="385"/>
    </row>
    <row r="1080" spans="3:7" s="12" customFormat="1" ht="12.75" customHeight="1">
      <c r="C1080" s="12" t="s">
        <v>545</v>
      </c>
      <c r="F1080" s="12" t="s">
        <v>2909</v>
      </c>
      <c r="G1080" s="8" t="s">
        <v>3409</v>
      </c>
    </row>
    <row r="1081" spans="3:7" s="12" customFormat="1" ht="12.75" customHeight="1">
      <c r="C1081" s="12" t="s">
        <v>1050</v>
      </c>
      <c r="F1081" s="12" t="s">
        <v>2910</v>
      </c>
      <c r="G1081" s="8" t="s">
        <v>3409</v>
      </c>
    </row>
    <row r="1082" spans="2:7" s="12" customFormat="1" ht="12.75" customHeight="1">
      <c r="B1082" s="12" t="s">
        <v>1051</v>
      </c>
      <c r="G1082" s="11"/>
    </row>
    <row r="1083" spans="3:7" s="12" customFormat="1" ht="12.75" customHeight="1">
      <c r="C1083" s="12" t="s">
        <v>1052</v>
      </c>
      <c r="F1083" s="12" t="s">
        <v>2911</v>
      </c>
      <c r="G1083" s="8" t="s">
        <v>3409</v>
      </c>
    </row>
    <row r="1084" spans="3:7" s="12" customFormat="1" ht="12.75" customHeight="1">
      <c r="C1084" s="12" t="s">
        <v>1053</v>
      </c>
      <c r="F1084" s="12" t="s">
        <v>1529</v>
      </c>
      <c r="G1084" s="385"/>
    </row>
    <row r="1085" spans="3:7" s="12" customFormat="1" ht="12.75" customHeight="1">
      <c r="C1085" s="12" t="s">
        <v>1054</v>
      </c>
      <c r="F1085" s="12" t="s">
        <v>1530</v>
      </c>
      <c r="G1085" s="8" t="s">
        <v>3409</v>
      </c>
    </row>
    <row r="1086" spans="3:7" s="12" customFormat="1" ht="12.75" customHeight="1">
      <c r="C1086" s="12" t="s">
        <v>1055</v>
      </c>
      <c r="F1086" s="12" t="s">
        <v>1531</v>
      </c>
      <c r="G1086" s="8" t="s">
        <v>3409</v>
      </c>
    </row>
    <row r="1087" spans="3:7" s="12" customFormat="1" ht="12.75" customHeight="1">
      <c r="C1087" s="12" t="s">
        <v>545</v>
      </c>
      <c r="F1087" s="12" t="s">
        <v>1532</v>
      </c>
      <c r="G1087" s="8" t="s">
        <v>3409</v>
      </c>
    </row>
    <row r="1088" spans="3:7" s="12" customFormat="1" ht="12.75" customHeight="1">
      <c r="C1088" s="12" t="s">
        <v>1056</v>
      </c>
      <c r="F1088" s="12" t="s">
        <v>1533</v>
      </c>
      <c r="G1088" s="385"/>
    </row>
    <row r="1089" spans="3:7" s="12" customFormat="1" ht="12.75" customHeight="1">
      <c r="C1089" s="12" t="s">
        <v>1057</v>
      </c>
      <c r="F1089" s="12" t="s">
        <v>1534</v>
      </c>
      <c r="G1089" s="8" t="s">
        <v>3409</v>
      </c>
    </row>
    <row r="1090" spans="2:7" s="12" customFormat="1" ht="12.75" customHeight="1">
      <c r="B1090" s="12" t="s">
        <v>1058</v>
      </c>
      <c r="G1090" s="11"/>
    </row>
    <row r="1091" spans="3:7" s="12" customFormat="1" ht="12.75" customHeight="1">
      <c r="C1091" s="12" t="s">
        <v>1053</v>
      </c>
      <c r="F1091" s="12" t="s">
        <v>1535</v>
      </c>
      <c r="G1091" s="385"/>
    </row>
    <row r="1092" spans="3:7" s="12" customFormat="1" ht="12.75" customHeight="1">
      <c r="C1092" s="12" t="s">
        <v>1059</v>
      </c>
      <c r="F1092" s="12" t="s">
        <v>1536</v>
      </c>
      <c r="G1092" s="385"/>
    </row>
    <row r="1093" spans="3:7" s="12" customFormat="1" ht="12.75" customHeight="1">
      <c r="C1093" s="12" t="s">
        <v>1060</v>
      </c>
      <c r="F1093" s="12" t="s">
        <v>1537</v>
      </c>
      <c r="G1093" s="8" t="s">
        <v>3409</v>
      </c>
    </row>
    <row r="1094" spans="3:7" s="12" customFormat="1" ht="12.75" customHeight="1">
      <c r="C1094" s="12" t="s">
        <v>1061</v>
      </c>
      <c r="F1094" s="12" t="s">
        <v>1538</v>
      </c>
      <c r="G1094" s="385"/>
    </row>
    <row r="1095" spans="2:7" s="12" customFormat="1" ht="12.75" customHeight="1">
      <c r="B1095" s="12" t="s">
        <v>1062</v>
      </c>
      <c r="F1095" s="12" t="s">
        <v>1539</v>
      </c>
      <c r="G1095" s="8" t="s">
        <v>3409</v>
      </c>
    </row>
    <row r="1096" s="12" customFormat="1" ht="12.75" customHeight="1">
      <c r="G1096" s="11"/>
    </row>
    <row r="1097" spans="1:14" s="383" customFormat="1" ht="12.75" customHeight="1">
      <c r="A1097" s="384" t="s">
        <v>1540</v>
      </c>
      <c r="B1097" s="384"/>
      <c r="C1097" s="17"/>
      <c r="D1097" s="17"/>
      <c r="E1097" s="17"/>
      <c r="G1097" s="61"/>
      <c r="K1097" s="12"/>
      <c r="L1097" s="12"/>
      <c r="M1097" s="12"/>
      <c r="N1097" s="12"/>
    </row>
    <row r="1098" spans="2:14" s="383" customFormat="1" ht="12.75" customHeight="1">
      <c r="B1098" s="383" t="s">
        <v>1044</v>
      </c>
      <c r="C1098" s="12"/>
      <c r="D1098" s="12"/>
      <c r="E1098" s="12"/>
      <c r="G1098" s="61"/>
      <c r="K1098" s="12"/>
      <c r="L1098" s="12"/>
      <c r="M1098" s="12"/>
      <c r="N1098" s="12"/>
    </row>
    <row r="1099" spans="3:13" s="383" customFormat="1" ht="12.75" customHeight="1">
      <c r="C1099" s="383" t="s">
        <v>1045</v>
      </c>
      <c r="F1099" s="383" t="s">
        <v>1541</v>
      </c>
      <c r="G1099" s="385"/>
      <c r="K1099" s="12"/>
      <c r="L1099" s="12"/>
      <c r="M1099" s="12"/>
    </row>
    <row r="1100" spans="3:13" s="383" customFormat="1" ht="12.75" customHeight="1">
      <c r="C1100" s="383" t="s">
        <v>1046</v>
      </c>
      <c r="F1100" s="383" t="s">
        <v>1542</v>
      </c>
      <c r="G1100" s="8" t="s">
        <v>3409</v>
      </c>
      <c r="K1100" s="12"/>
      <c r="L1100" s="12"/>
      <c r="M1100" s="12"/>
    </row>
    <row r="1101" spans="3:13" s="383" customFormat="1" ht="12.75" customHeight="1">
      <c r="C1101" s="383" t="s">
        <v>1047</v>
      </c>
      <c r="F1101" s="383" t="s">
        <v>1543</v>
      </c>
      <c r="G1101" s="8" t="s">
        <v>3409</v>
      </c>
      <c r="I1101" s="12"/>
      <c r="K1101" s="12"/>
      <c r="L1101" s="12"/>
      <c r="M1101" s="12"/>
    </row>
    <row r="1102" spans="3:13" s="383" customFormat="1" ht="12.75" customHeight="1">
      <c r="C1102" s="383" t="s">
        <v>1048</v>
      </c>
      <c r="F1102" s="383" t="s">
        <v>1544</v>
      </c>
      <c r="G1102" s="385"/>
      <c r="K1102" s="12"/>
      <c r="L1102" s="12"/>
      <c r="M1102" s="12"/>
    </row>
    <row r="1103" spans="3:7" s="383" customFormat="1" ht="12.75" customHeight="1">
      <c r="C1103" s="383" t="s">
        <v>1049</v>
      </c>
      <c r="F1103" s="383" t="s">
        <v>1545</v>
      </c>
      <c r="G1103" s="385"/>
    </row>
    <row r="1104" spans="3:7" s="12" customFormat="1" ht="12.75" customHeight="1">
      <c r="C1104" s="12" t="s">
        <v>545</v>
      </c>
      <c r="F1104" s="12" t="s">
        <v>1546</v>
      </c>
      <c r="G1104" s="8" t="s">
        <v>3409</v>
      </c>
    </row>
    <row r="1105" spans="3:7" s="12" customFormat="1" ht="12.75" customHeight="1">
      <c r="C1105" s="12" t="s">
        <v>1050</v>
      </c>
      <c r="F1105" s="12" t="s">
        <v>1547</v>
      </c>
      <c r="G1105" s="8" t="s">
        <v>3409</v>
      </c>
    </row>
    <row r="1106" spans="2:7" s="12" customFormat="1" ht="12.75" customHeight="1">
      <c r="B1106" s="12" t="s">
        <v>1051</v>
      </c>
      <c r="G1106" s="11"/>
    </row>
    <row r="1107" spans="3:7" s="12" customFormat="1" ht="12.75" customHeight="1">
      <c r="C1107" s="12" t="s">
        <v>1052</v>
      </c>
      <c r="F1107" s="12" t="s">
        <v>1548</v>
      </c>
      <c r="G1107" s="8" t="s">
        <v>3409</v>
      </c>
    </row>
    <row r="1108" spans="3:7" s="12" customFormat="1" ht="12.75" customHeight="1">
      <c r="C1108" s="12" t="s">
        <v>1053</v>
      </c>
      <c r="F1108" s="12" t="s">
        <v>1549</v>
      </c>
      <c r="G1108" s="385"/>
    </row>
    <row r="1109" spans="3:7" s="12" customFormat="1" ht="12.75" customHeight="1">
      <c r="C1109" s="12" t="s">
        <v>1054</v>
      </c>
      <c r="F1109" s="12" t="s">
        <v>1550</v>
      </c>
      <c r="G1109" s="8" t="s">
        <v>3409</v>
      </c>
    </row>
    <row r="1110" spans="3:7" s="12" customFormat="1" ht="12.75" customHeight="1">
      <c r="C1110" s="12" t="s">
        <v>1055</v>
      </c>
      <c r="F1110" s="12" t="s">
        <v>1551</v>
      </c>
      <c r="G1110" s="8" t="s">
        <v>3409</v>
      </c>
    </row>
    <row r="1111" spans="3:7" s="12" customFormat="1" ht="12.75" customHeight="1">
      <c r="C1111" s="12" t="s">
        <v>545</v>
      </c>
      <c r="F1111" s="12" t="s">
        <v>1552</v>
      </c>
      <c r="G1111" s="8" t="s">
        <v>3409</v>
      </c>
    </row>
    <row r="1112" spans="3:7" s="12" customFormat="1" ht="12.75" customHeight="1">
      <c r="C1112" s="12" t="s">
        <v>1056</v>
      </c>
      <c r="F1112" s="12" t="s">
        <v>1553</v>
      </c>
      <c r="G1112" s="385"/>
    </row>
    <row r="1113" spans="3:7" s="12" customFormat="1" ht="12.75" customHeight="1">
      <c r="C1113" s="12" t="s">
        <v>1057</v>
      </c>
      <c r="F1113" s="12" t="s">
        <v>1554</v>
      </c>
      <c r="G1113" s="8" t="s">
        <v>3409</v>
      </c>
    </row>
    <row r="1114" spans="2:7" s="12" customFormat="1" ht="12.75" customHeight="1">
      <c r="B1114" s="12" t="s">
        <v>1058</v>
      </c>
      <c r="G1114" s="11"/>
    </row>
    <row r="1115" spans="3:7" s="12" customFormat="1" ht="12.75" customHeight="1">
      <c r="C1115" s="12" t="s">
        <v>1053</v>
      </c>
      <c r="F1115" s="12" t="s">
        <v>1555</v>
      </c>
      <c r="G1115" s="385"/>
    </row>
    <row r="1116" spans="3:7" s="12" customFormat="1" ht="12.75" customHeight="1">
      <c r="C1116" s="12" t="s">
        <v>2898</v>
      </c>
      <c r="F1116" s="12" t="s">
        <v>263</v>
      </c>
      <c r="G1116" s="385"/>
    </row>
    <row r="1117" spans="3:7" s="12" customFormat="1" ht="12.75" customHeight="1">
      <c r="C1117" s="12" t="s">
        <v>1060</v>
      </c>
      <c r="F1117" s="12" t="s">
        <v>264</v>
      </c>
      <c r="G1117" s="8" t="s">
        <v>3409</v>
      </c>
    </row>
    <row r="1118" spans="3:7" s="12" customFormat="1" ht="12.75" customHeight="1">
      <c r="C1118" s="12" t="s">
        <v>1061</v>
      </c>
      <c r="F1118" s="12" t="s">
        <v>265</v>
      </c>
      <c r="G1118" s="385"/>
    </row>
    <row r="1119" spans="2:7" s="12" customFormat="1" ht="12.75" customHeight="1">
      <c r="B1119" s="12" t="s">
        <v>1062</v>
      </c>
      <c r="F1119" s="12" t="s">
        <v>266</v>
      </c>
      <c r="G1119" s="8" t="s">
        <v>3409</v>
      </c>
    </row>
    <row r="1120" s="12" customFormat="1" ht="12.75" customHeight="1">
      <c r="G1120" s="11"/>
    </row>
    <row r="1121" spans="1:14" s="383" customFormat="1" ht="12.75" customHeight="1">
      <c r="A1121" s="384" t="s">
        <v>267</v>
      </c>
      <c r="B1121" s="384"/>
      <c r="C1121" s="17"/>
      <c r="D1121" s="17"/>
      <c r="E1121" s="17"/>
      <c r="G1121" s="61"/>
      <c r="K1121" s="12"/>
      <c r="L1121" s="12"/>
      <c r="M1121" s="12"/>
      <c r="N1121" s="12"/>
    </row>
    <row r="1122" spans="2:14" s="383" customFormat="1" ht="12.75" customHeight="1">
      <c r="B1122" s="383" t="s">
        <v>1044</v>
      </c>
      <c r="C1122" s="12"/>
      <c r="D1122" s="12"/>
      <c r="E1122" s="12"/>
      <c r="G1122" s="61"/>
      <c r="K1122" s="12"/>
      <c r="L1122" s="12"/>
      <c r="M1122" s="12"/>
      <c r="N1122" s="12"/>
    </row>
    <row r="1123" spans="3:13" s="383" customFormat="1" ht="12.75" customHeight="1">
      <c r="C1123" s="383" t="s">
        <v>1045</v>
      </c>
      <c r="F1123" s="383" t="s">
        <v>268</v>
      </c>
      <c r="G1123" s="385"/>
      <c r="K1123" s="12"/>
      <c r="L1123" s="12"/>
      <c r="M1123" s="12"/>
    </row>
    <row r="1124" spans="3:13" s="383" customFormat="1" ht="12.75" customHeight="1">
      <c r="C1124" s="383" t="s">
        <v>1046</v>
      </c>
      <c r="F1124" s="383" t="s">
        <v>269</v>
      </c>
      <c r="G1124" s="8" t="s">
        <v>3409</v>
      </c>
      <c r="K1124" s="12"/>
      <c r="L1124" s="12"/>
      <c r="M1124" s="12"/>
    </row>
    <row r="1125" spans="3:13" s="383" customFormat="1" ht="12.75" customHeight="1">
      <c r="C1125" s="383" t="s">
        <v>1047</v>
      </c>
      <c r="F1125" s="383" t="s">
        <v>270</v>
      </c>
      <c r="G1125" s="8" t="s">
        <v>3409</v>
      </c>
      <c r="I1125" s="12"/>
      <c r="K1125" s="12"/>
      <c r="L1125" s="12"/>
      <c r="M1125" s="12"/>
    </row>
    <row r="1126" spans="3:13" s="383" customFormat="1" ht="12.75" customHeight="1">
      <c r="C1126" s="383" t="s">
        <v>1048</v>
      </c>
      <c r="F1126" s="383" t="s">
        <v>271</v>
      </c>
      <c r="G1126" s="385"/>
      <c r="K1126" s="12"/>
      <c r="L1126" s="12"/>
      <c r="M1126" s="12"/>
    </row>
    <row r="1127" spans="3:7" s="383" customFormat="1" ht="12.75" customHeight="1">
      <c r="C1127" s="383" t="s">
        <v>1049</v>
      </c>
      <c r="F1127" s="383" t="s">
        <v>272</v>
      </c>
      <c r="G1127" s="385"/>
    </row>
    <row r="1128" spans="3:7" s="12" customFormat="1" ht="12.75" customHeight="1">
      <c r="C1128" s="12" t="s">
        <v>545</v>
      </c>
      <c r="F1128" s="12" t="s">
        <v>273</v>
      </c>
      <c r="G1128" s="8" t="s">
        <v>3409</v>
      </c>
    </row>
    <row r="1129" spans="3:7" s="12" customFormat="1" ht="12.75" customHeight="1">
      <c r="C1129" s="12" t="s">
        <v>1050</v>
      </c>
      <c r="F1129" s="12" t="s">
        <v>274</v>
      </c>
      <c r="G1129" s="8" t="s">
        <v>3409</v>
      </c>
    </row>
    <row r="1130" spans="2:7" s="12" customFormat="1" ht="12.75" customHeight="1">
      <c r="B1130" s="12" t="s">
        <v>1051</v>
      </c>
      <c r="G1130" s="11"/>
    </row>
    <row r="1131" spans="3:7" s="12" customFormat="1" ht="12.75" customHeight="1">
      <c r="C1131" s="12" t="s">
        <v>1052</v>
      </c>
      <c r="F1131" s="12" t="s">
        <v>275</v>
      </c>
      <c r="G1131" s="8" t="s">
        <v>3409</v>
      </c>
    </row>
    <row r="1132" spans="3:7" s="12" customFormat="1" ht="12.75" customHeight="1">
      <c r="C1132" s="12" t="s">
        <v>1053</v>
      </c>
      <c r="F1132" s="12" t="s">
        <v>276</v>
      </c>
      <c r="G1132" s="385"/>
    </row>
    <row r="1133" spans="3:7" s="12" customFormat="1" ht="12.75" customHeight="1">
      <c r="C1133" s="12" t="s">
        <v>1054</v>
      </c>
      <c r="F1133" s="12" t="s">
        <v>277</v>
      </c>
      <c r="G1133" s="8" t="s">
        <v>3409</v>
      </c>
    </row>
    <row r="1134" spans="3:7" s="12" customFormat="1" ht="12.75" customHeight="1">
      <c r="C1134" s="12" t="s">
        <v>1055</v>
      </c>
      <c r="F1134" s="12" t="s">
        <v>278</v>
      </c>
      <c r="G1134" s="8" t="s">
        <v>3409</v>
      </c>
    </row>
    <row r="1135" spans="3:7" s="12" customFormat="1" ht="12.75" customHeight="1">
      <c r="C1135" s="12" t="s">
        <v>545</v>
      </c>
      <c r="F1135" s="12" t="s">
        <v>279</v>
      </c>
      <c r="G1135" s="8" t="s">
        <v>3409</v>
      </c>
    </row>
    <row r="1136" spans="3:7" s="12" customFormat="1" ht="12.75" customHeight="1">
      <c r="C1136" s="12" t="s">
        <v>1056</v>
      </c>
      <c r="F1136" s="12" t="s">
        <v>280</v>
      </c>
      <c r="G1136" s="385"/>
    </row>
    <row r="1137" spans="3:7" s="12" customFormat="1" ht="12.75" customHeight="1">
      <c r="C1137" s="12" t="s">
        <v>1057</v>
      </c>
      <c r="F1137" s="12" t="s">
        <v>281</v>
      </c>
      <c r="G1137" s="8" t="s">
        <v>3409</v>
      </c>
    </row>
    <row r="1138" spans="2:7" s="12" customFormat="1" ht="12.75" customHeight="1">
      <c r="B1138" s="12" t="s">
        <v>1058</v>
      </c>
      <c r="G1138" s="11"/>
    </row>
    <row r="1139" spans="3:7" s="12" customFormat="1" ht="12.75" customHeight="1">
      <c r="C1139" s="12" t="s">
        <v>1053</v>
      </c>
      <c r="F1139" s="12" t="s">
        <v>282</v>
      </c>
      <c r="G1139" s="385"/>
    </row>
    <row r="1140" spans="3:7" s="12" customFormat="1" ht="12.75" customHeight="1">
      <c r="C1140" s="12" t="s">
        <v>283</v>
      </c>
      <c r="F1140" s="12" t="s">
        <v>284</v>
      </c>
      <c r="G1140" s="385"/>
    </row>
    <row r="1141" spans="3:7" s="12" customFormat="1" ht="12.75" customHeight="1">
      <c r="C1141" s="12" t="s">
        <v>1060</v>
      </c>
      <c r="F1141" s="12" t="s">
        <v>285</v>
      </c>
      <c r="G1141" s="8" t="s">
        <v>3409</v>
      </c>
    </row>
    <row r="1142" spans="3:7" s="12" customFormat="1" ht="12.75" customHeight="1">
      <c r="C1142" s="12" t="s">
        <v>1061</v>
      </c>
      <c r="F1142" s="12" t="s">
        <v>286</v>
      </c>
      <c r="G1142" s="385"/>
    </row>
    <row r="1143" spans="2:7" s="12" customFormat="1" ht="12.75" customHeight="1">
      <c r="B1143" s="12" t="s">
        <v>1062</v>
      </c>
      <c r="F1143" s="12" t="s">
        <v>287</v>
      </c>
      <c r="G1143" s="8" t="s">
        <v>3409</v>
      </c>
    </row>
    <row r="1144" s="12" customFormat="1" ht="12.75" customHeight="1">
      <c r="G1144" s="11"/>
    </row>
    <row r="1145" spans="1:14" s="383" customFormat="1" ht="12.75" customHeight="1">
      <c r="A1145" s="384" t="s">
        <v>288</v>
      </c>
      <c r="B1145" s="384"/>
      <c r="C1145" s="17"/>
      <c r="D1145" s="17"/>
      <c r="E1145" s="17"/>
      <c r="G1145" s="61"/>
      <c r="K1145" s="12"/>
      <c r="L1145" s="12"/>
      <c r="M1145" s="12"/>
      <c r="N1145" s="12"/>
    </row>
    <row r="1146" spans="2:14" s="383" customFormat="1" ht="12.75" customHeight="1">
      <c r="B1146" s="383" t="s">
        <v>1044</v>
      </c>
      <c r="C1146" s="12"/>
      <c r="D1146" s="12"/>
      <c r="E1146" s="12"/>
      <c r="G1146" s="61"/>
      <c r="K1146" s="12"/>
      <c r="L1146" s="12"/>
      <c r="M1146" s="12"/>
      <c r="N1146" s="12"/>
    </row>
    <row r="1147" spans="3:13" s="383" customFormat="1" ht="12.75" customHeight="1">
      <c r="C1147" s="383" t="s">
        <v>1045</v>
      </c>
      <c r="F1147" s="383" t="s">
        <v>289</v>
      </c>
      <c r="G1147" s="385"/>
      <c r="K1147" s="12"/>
      <c r="L1147" s="12"/>
      <c r="M1147" s="12"/>
    </row>
    <row r="1148" spans="3:13" s="383" customFormat="1" ht="12.75" customHeight="1">
      <c r="C1148" s="383" t="s">
        <v>1046</v>
      </c>
      <c r="F1148" s="383" t="s">
        <v>290</v>
      </c>
      <c r="G1148" s="8" t="s">
        <v>3409</v>
      </c>
      <c r="K1148" s="12"/>
      <c r="L1148" s="12"/>
      <c r="M1148" s="12"/>
    </row>
    <row r="1149" spans="3:13" s="383" customFormat="1" ht="12.75" customHeight="1">
      <c r="C1149" s="383" t="s">
        <v>1047</v>
      </c>
      <c r="F1149" s="383" t="s">
        <v>291</v>
      </c>
      <c r="G1149" s="8" t="s">
        <v>3409</v>
      </c>
      <c r="I1149" s="12"/>
      <c r="K1149" s="12"/>
      <c r="L1149" s="12"/>
      <c r="M1149" s="12"/>
    </row>
    <row r="1150" spans="3:13" s="383" customFormat="1" ht="12.75" customHeight="1">
      <c r="C1150" s="383" t="s">
        <v>1048</v>
      </c>
      <c r="F1150" s="383" t="s">
        <v>292</v>
      </c>
      <c r="G1150" s="385"/>
      <c r="K1150" s="12"/>
      <c r="L1150" s="12"/>
      <c r="M1150" s="12"/>
    </row>
    <row r="1151" spans="3:7" s="383" customFormat="1" ht="12.75" customHeight="1">
      <c r="C1151" s="383" t="s">
        <v>1049</v>
      </c>
      <c r="F1151" s="383" t="s">
        <v>293</v>
      </c>
      <c r="G1151" s="385"/>
    </row>
    <row r="1152" spans="3:7" s="12" customFormat="1" ht="12.75" customHeight="1">
      <c r="C1152" s="12" t="s">
        <v>545</v>
      </c>
      <c r="F1152" s="12" t="s">
        <v>294</v>
      </c>
      <c r="G1152" s="8" t="s">
        <v>3409</v>
      </c>
    </row>
    <row r="1153" spans="3:7" s="12" customFormat="1" ht="12.75" customHeight="1">
      <c r="C1153" s="12" t="s">
        <v>1050</v>
      </c>
      <c r="F1153" s="12" t="s">
        <v>295</v>
      </c>
      <c r="G1153" s="8" t="s">
        <v>3409</v>
      </c>
    </row>
    <row r="1154" spans="2:7" s="12" customFormat="1" ht="12.75" customHeight="1">
      <c r="B1154" s="12" t="s">
        <v>1051</v>
      </c>
      <c r="G1154" s="11"/>
    </row>
    <row r="1155" spans="3:7" s="12" customFormat="1" ht="12.75" customHeight="1">
      <c r="C1155" s="12" t="s">
        <v>1052</v>
      </c>
      <c r="F1155" s="12" t="s">
        <v>296</v>
      </c>
      <c r="G1155" s="8" t="s">
        <v>3409</v>
      </c>
    </row>
    <row r="1156" spans="3:7" s="12" customFormat="1" ht="12.75" customHeight="1">
      <c r="C1156" s="12" t="s">
        <v>1053</v>
      </c>
      <c r="F1156" s="12" t="s">
        <v>1745</v>
      </c>
      <c r="G1156" s="385"/>
    </row>
    <row r="1157" spans="3:7" s="12" customFormat="1" ht="12.75" customHeight="1">
      <c r="C1157" s="12" t="s">
        <v>1054</v>
      </c>
      <c r="F1157" s="12" t="s">
        <v>1746</v>
      </c>
      <c r="G1157" s="8" t="s">
        <v>3409</v>
      </c>
    </row>
    <row r="1158" spans="3:7" s="12" customFormat="1" ht="12.75" customHeight="1">
      <c r="C1158" s="12" t="s">
        <v>1055</v>
      </c>
      <c r="F1158" s="12" t="s">
        <v>1747</v>
      </c>
      <c r="G1158" s="8" t="s">
        <v>3409</v>
      </c>
    </row>
    <row r="1159" spans="3:7" s="12" customFormat="1" ht="12.75" customHeight="1">
      <c r="C1159" s="12" t="s">
        <v>545</v>
      </c>
      <c r="F1159" s="12" t="s">
        <v>1748</v>
      </c>
      <c r="G1159" s="8" t="s">
        <v>3409</v>
      </c>
    </row>
    <row r="1160" spans="3:7" s="12" customFormat="1" ht="12.75" customHeight="1">
      <c r="C1160" s="12" t="s">
        <v>1056</v>
      </c>
      <c r="F1160" s="12" t="s">
        <v>151</v>
      </c>
      <c r="G1160" s="385"/>
    </row>
    <row r="1161" spans="3:7" s="12" customFormat="1" ht="12.75" customHeight="1">
      <c r="C1161" s="12" t="s">
        <v>1057</v>
      </c>
      <c r="F1161" s="12" t="s">
        <v>152</v>
      </c>
      <c r="G1161" s="8" t="s">
        <v>3409</v>
      </c>
    </row>
    <row r="1162" spans="2:7" s="12" customFormat="1" ht="12.75" customHeight="1">
      <c r="B1162" s="12" t="s">
        <v>1058</v>
      </c>
      <c r="G1162" s="11"/>
    </row>
    <row r="1163" spans="3:7" s="12" customFormat="1" ht="12.75" customHeight="1">
      <c r="C1163" s="12" t="s">
        <v>1053</v>
      </c>
      <c r="F1163" s="12" t="s">
        <v>153</v>
      </c>
      <c r="G1163" s="385"/>
    </row>
    <row r="1164" spans="3:7" s="12" customFormat="1" ht="12.75" customHeight="1">
      <c r="C1164" s="12" t="s">
        <v>2898</v>
      </c>
      <c r="F1164" s="12" t="s">
        <v>154</v>
      </c>
      <c r="G1164" s="385"/>
    </row>
    <row r="1165" spans="3:7" s="12" customFormat="1" ht="12.75" customHeight="1">
      <c r="C1165" s="12" t="s">
        <v>1060</v>
      </c>
      <c r="F1165" s="12" t="s">
        <v>785</v>
      </c>
      <c r="G1165" s="8" t="s">
        <v>3409</v>
      </c>
    </row>
    <row r="1166" spans="3:7" s="12" customFormat="1" ht="12.75" customHeight="1">
      <c r="C1166" s="12" t="s">
        <v>1061</v>
      </c>
      <c r="F1166" s="12" t="s">
        <v>786</v>
      </c>
      <c r="G1166" s="385"/>
    </row>
    <row r="1167" spans="2:7" s="12" customFormat="1" ht="12.75" customHeight="1">
      <c r="B1167" s="12" t="s">
        <v>1062</v>
      </c>
      <c r="F1167" s="12" t="s">
        <v>787</v>
      </c>
      <c r="G1167" s="8" t="s">
        <v>3409</v>
      </c>
    </row>
    <row r="1168" s="12" customFormat="1" ht="12.75" customHeight="1">
      <c r="G1168" s="11"/>
    </row>
    <row r="1169" spans="1:14" s="383" customFormat="1" ht="12.75" customHeight="1">
      <c r="A1169" s="384" t="s">
        <v>788</v>
      </c>
      <c r="B1169" s="384"/>
      <c r="C1169" s="17"/>
      <c r="D1169" s="17"/>
      <c r="E1169" s="17"/>
      <c r="G1169" s="61"/>
      <c r="K1169" s="12"/>
      <c r="L1169" s="12"/>
      <c r="M1169" s="12"/>
      <c r="N1169" s="12"/>
    </row>
    <row r="1170" spans="2:14" s="383" customFormat="1" ht="12.75" customHeight="1">
      <c r="B1170" s="383" t="s">
        <v>1044</v>
      </c>
      <c r="C1170" s="12"/>
      <c r="D1170" s="12"/>
      <c r="E1170" s="12"/>
      <c r="G1170" s="61"/>
      <c r="K1170" s="12"/>
      <c r="L1170" s="12"/>
      <c r="M1170" s="12"/>
      <c r="N1170" s="12"/>
    </row>
    <row r="1171" spans="3:13" s="383" customFormat="1" ht="12.75" customHeight="1">
      <c r="C1171" s="383" t="s">
        <v>1045</v>
      </c>
      <c r="F1171" s="383" t="s">
        <v>789</v>
      </c>
      <c r="G1171" s="385"/>
      <c r="K1171" s="12"/>
      <c r="L1171" s="12"/>
      <c r="M1171" s="12"/>
    </row>
    <row r="1172" spans="3:13" s="383" customFormat="1" ht="12.75" customHeight="1">
      <c r="C1172" s="383" t="s">
        <v>1046</v>
      </c>
      <c r="F1172" s="383" t="s">
        <v>790</v>
      </c>
      <c r="G1172" s="8" t="s">
        <v>3409</v>
      </c>
      <c r="K1172" s="12"/>
      <c r="L1172" s="12"/>
      <c r="M1172" s="12"/>
    </row>
    <row r="1173" spans="3:13" s="383" customFormat="1" ht="12.75" customHeight="1">
      <c r="C1173" s="383" t="s">
        <v>1047</v>
      </c>
      <c r="F1173" s="383" t="s">
        <v>791</v>
      </c>
      <c r="G1173" s="8" t="s">
        <v>3409</v>
      </c>
      <c r="I1173" s="12"/>
      <c r="K1173" s="12"/>
      <c r="L1173" s="12"/>
      <c r="M1173" s="12"/>
    </row>
    <row r="1174" spans="3:13" s="383" customFormat="1" ht="12.75" customHeight="1">
      <c r="C1174" s="383" t="s">
        <v>1048</v>
      </c>
      <c r="F1174" s="383" t="s">
        <v>792</v>
      </c>
      <c r="G1174" s="385"/>
      <c r="K1174" s="12"/>
      <c r="L1174" s="12"/>
      <c r="M1174" s="12"/>
    </row>
    <row r="1175" spans="3:7" s="383" customFormat="1" ht="12.75" customHeight="1">
      <c r="C1175" s="383" t="s">
        <v>1049</v>
      </c>
      <c r="F1175" s="383" t="s">
        <v>793</v>
      </c>
      <c r="G1175" s="385"/>
    </row>
    <row r="1176" spans="3:7" s="12" customFormat="1" ht="12.75" customHeight="1">
      <c r="C1176" s="12" t="s">
        <v>545</v>
      </c>
      <c r="F1176" s="12" t="s">
        <v>794</v>
      </c>
      <c r="G1176" s="8" t="s">
        <v>3409</v>
      </c>
    </row>
    <row r="1177" spans="3:7" s="12" customFormat="1" ht="12.75" customHeight="1">
      <c r="C1177" s="12" t="s">
        <v>1050</v>
      </c>
      <c r="F1177" s="12" t="s">
        <v>795</v>
      </c>
      <c r="G1177" s="8" t="s">
        <v>3409</v>
      </c>
    </row>
    <row r="1178" spans="2:7" s="12" customFormat="1" ht="12.75" customHeight="1">
      <c r="B1178" s="12" t="s">
        <v>1051</v>
      </c>
      <c r="G1178" s="11"/>
    </row>
    <row r="1179" spans="3:7" s="12" customFormat="1" ht="12.75" customHeight="1">
      <c r="C1179" s="12" t="s">
        <v>1052</v>
      </c>
      <c r="F1179" s="12" t="s">
        <v>796</v>
      </c>
      <c r="G1179" s="8" t="s">
        <v>3409</v>
      </c>
    </row>
    <row r="1180" spans="3:7" s="12" customFormat="1" ht="12.75" customHeight="1">
      <c r="C1180" s="12" t="s">
        <v>1053</v>
      </c>
      <c r="F1180" s="12" t="s">
        <v>797</v>
      </c>
      <c r="G1180" s="385"/>
    </row>
    <row r="1181" spans="3:7" s="12" customFormat="1" ht="12.75" customHeight="1">
      <c r="C1181" s="12" t="s">
        <v>1054</v>
      </c>
      <c r="F1181" s="12" t="s">
        <v>798</v>
      </c>
      <c r="G1181" s="8" t="s">
        <v>3409</v>
      </c>
    </row>
    <row r="1182" spans="3:7" s="12" customFormat="1" ht="12.75" customHeight="1">
      <c r="C1182" s="12" t="s">
        <v>1055</v>
      </c>
      <c r="F1182" s="12" t="s">
        <v>799</v>
      </c>
      <c r="G1182" s="8" t="s">
        <v>3409</v>
      </c>
    </row>
    <row r="1183" spans="3:7" s="12" customFormat="1" ht="12.75" customHeight="1">
      <c r="C1183" s="12" t="s">
        <v>545</v>
      </c>
      <c r="F1183" s="12" t="s">
        <v>800</v>
      </c>
      <c r="G1183" s="8" t="s">
        <v>3409</v>
      </c>
    </row>
    <row r="1184" spans="3:7" s="12" customFormat="1" ht="12.75" customHeight="1">
      <c r="C1184" s="12" t="s">
        <v>1056</v>
      </c>
      <c r="F1184" s="12" t="s">
        <v>801</v>
      </c>
      <c r="G1184" s="385"/>
    </row>
    <row r="1185" spans="3:7" s="12" customFormat="1" ht="12.75" customHeight="1">
      <c r="C1185" s="12" t="s">
        <v>1057</v>
      </c>
      <c r="F1185" s="12" t="s">
        <v>802</v>
      </c>
      <c r="G1185" s="8" t="s">
        <v>3409</v>
      </c>
    </row>
    <row r="1186" spans="2:7" s="12" customFormat="1" ht="12.75" customHeight="1">
      <c r="B1186" s="12" t="s">
        <v>1058</v>
      </c>
      <c r="G1186" s="11"/>
    </row>
    <row r="1187" spans="3:7" s="12" customFormat="1" ht="12.75" customHeight="1">
      <c r="C1187" s="12" t="s">
        <v>1053</v>
      </c>
      <c r="F1187" s="12" t="s">
        <v>803</v>
      </c>
      <c r="G1187" s="385"/>
    </row>
    <row r="1188" spans="3:7" s="12" customFormat="1" ht="12.75" customHeight="1">
      <c r="C1188" s="12" t="s">
        <v>2898</v>
      </c>
      <c r="F1188" s="12" t="s">
        <v>804</v>
      </c>
      <c r="G1188" s="385"/>
    </row>
    <row r="1189" spans="3:7" s="12" customFormat="1" ht="12.75" customHeight="1">
      <c r="C1189" s="12" t="s">
        <v>1060</v>
      </c>
      <c r="F1189" s="12" t="s">
        <v>805</v>
      </c>
      <c r="G1189" s="8" t="s">
        <v>3409</v>
      </c>
    </row>
    <row r="1190" spans="3:7" s="12" customFormat="1" ht="12.75" customHeight="1">
      <c r="C1190" s="12" t="s">
        <v>1061</v>
      </c>
      <c r="F1190" s="12" t="s">
        <v>806</v>
      </c>
      <c r="G1190" s="385"/>
    </row>
    <row r="1191" spans="2:7" s="12" customFormat="1" ht="12.75" customHeight="1">
      <c r="B1191" s="12" t="s">
        <v>1062</v>
      </c>
      <c r="F1191" s="12" t="s">
        <v>807</v>
      </c>
      <c r="G1191" s="8" t="s">
        <v>3409</v>
      </c>
    </row>
    <row r="1192" s="12" customFormat="1" ht="12.75" customHeight="1">
      <c r="G1192" s="11"/>
    </row>
    <row r="1193" spans="1:14" s="383" customFormat="1" ht="12.75" customHeight="1">
      <c r="A1193" s="384" t="s">
        <v>808</v>
      </c>
      <c r="B1193" s="384"/>
      <c r="C1193" s="17"/>
      <c r="D1193" s="17"/>
      <c r="E1193" s="17"/>
      <c r="G1193" s="61"/>
      <c r="K1193" s="12"/>
      <c r="L1193" s="12"/>
      <c r="M1193" s="12"/>
      <c r="N1193" s="12"/>
    </row>
    <row r="1194" spans="2:14" s="383" customFormat="1" ht="12.75" customHeight="1">
      <c r="B1194" s="383" t="s">
        <v>1044</v>
      </c>
      <c r="C1194" s="12"/>
      <c r="D1194" s="12"/>
      <c r="E1194" s="12"/>
      <c r="G1194" s="61"/>
      <c r="K1194" s="12"/>
      <c r="L1194" s="12"/>
      <c r="M1194" s="12"/>
      <c r="N1194" s="12"/>
    </row>
    <row r="1195" spans="3:13" s="383" customFormat="1" ht="12.75" customHeight="1">
      <c r="C1195" s="383" t="s">
        <v>1045</v>
      </c>
      <c r="F1195" s="383" t="s">
        <v>809</v>
      </c>
      <c r="G1195" s="385"/>
      <c r="K1195" s="12"/>
      <c r="L1195" s="12"/>
      <c r="M1195" s="12"/>
    </row>
    <row r="1196" spans="3:13" s="383" customFormat="1" ht="12.75" customHeight="1">
      <c r="C1196" s="383" t="s">
        <v>1046</v>
      </c>
      <c r="F1196" s="383" t="s">
        <v>810</v>
      </c>
      <c r="G1196" s="8" t="s">
        <v>3409</v>
      </c>
      <c r="K1196" s="12"/>
      <c r="L1196" s="12"/>
      <c r="M1196" s="12"/>
    </row>
    <row r="1197" spans="3:13" s="383" customFormat="1" ht="12.75" customHeight="1">
      <c r="C1197" s="383" t="s">
        <v>1047</v>
      </c>
      <c r="F1197" s="383" t="s">
        <v>811</v>
      </c>
      <c r="G1197" s="8" t="s">
        <v>3409</v>
      </c>
      <c r="I1197" s="12"/>
      <c r="K1197" s="12"/>
      <c r="L1197" s="12"/>
      <c r="M1197" s="12"/>
    </row>
    <row r="1198" spans="3:13" s="383" customFormat="1" ht="12.75" customHeight="1">
      <c r="C1198" s="383" t="s">
        <v>1048</v>
      </c>
      <c r="F1198" s="383" t="s">
        <v>812</v>
      </c>
      <c r="G1198" s="385"/>
      <c r="K1198" s="12"/>
      <c r="L1198" s="12"/>
      <c r="M1198" s="12"/>
    </row>
    <row r="1199" spans="3:7" s="383" customFormat="1" ht="12.75" customHeight="1">
      <c r="C1199" s="383" t="s">
        <v>1049</v>
      </c>
      <c r="F1199" s="383" t="s">
        <v>813</v>
      </c>
      <c r="G1199" s="385"/>
    </row>
    <row r="1200" spans="3:7" s="12" customFormat="1" ht="12.75" customHeight="1">
      <c r="C1200" s="12" t="s">
        <v>545</v>
      </c>
      <c r="F1200" s="12" t="s">
        <v>814</v>
      </c>
      <c r="G1200" s="8" t="s">
        <v>3409</v>
      </c>
    </row>
    <row r="1201" spans="3:7" s="12" customFormat="1" ht="12.75" customHeight="1">
      <c r="C1201" s="12" t="s">
        <v>1050</v>
      </c>
      <c r="F1201" s="12" t="s">
        <v>815</v>
      </c>
      <c r="G1201" s="8" t="s">
        <v>3409</v>
      </c>
    </row>
    <row r="1202" spans="2:7" s="12" customFormat="1" ht="12.75" customHeight="1">
      <c r="B1202" s="12" t="s">
        <v>1051</v>
      </c>
      <c r="G1202" s="11"/>
    </row>
    <row r="1203" spans="3:7" s="12" customFormat="1" ht="12.75" customHeight="1">
      <c r="C1203" s="12" t="s">
        <v>1052</v>
      </c>
      <c r="F1203" s="12" t="s">
        <v>816</v>
      </c>
      <c r="G1203" s="8" t="s">
        <v>3409</v>
      </c>
    </row>
    <row r="1204" spans="3:7" s="12" customFormat="1" ht="12.75" customHeight="1">
      <c r="C1204" s="12" t="s">
        <v>1053</v>
      </c>
      <c r="F1204" s="12" t="s">
        <v>817</v>
      </c>
      <c r="G1204" s="385"/>
    </row>
    <row r="1205" spans="3:7" s="12" customFormat="1" ht="12.75" customHeight="1">
      <c r="C1205" s="12" t="s">
        <v>1054</v>
      </c>
      <c r="F1205" s="12" t="s">
        <v>818</v>
      </c>
      <c r="G1205" s="8" t="s">
        <v>3409</v>
      </c>
    </row>
    <row r="1206" spans="3:7" s="12" customFormat="1" ht="12.75" customHeight="1">
      <c r="C1206" s="12" t="s">
        <v>1055</v>
      </c>
      <c r="F1206" s="12" t="s">
        <v>819</v>
      </c>
      <c r="G1206" s="8" t="s">
        <v>3409</v>
      </c>
    </row>
    <row r="1207" spans="3:7" s="12" customFormat="1" ht="12.75" customHeight="1">
      <c r="C1207" s="12" t="s">
        <v>545</v>
      </c>
      <c r="F1207" s="12" t="s">
        <v>820</v>
      </c>
      <c r="G1207" s="8" t="s">
        <v>3409</v>
      </c>
    </row>
    <row r="1208" spans="3:7" s="12" customFormat="1" ht="12.75" customHeight="1">
      <c r="C1208" s="12" t="s">
        <v>1056</v>
      </c>
      <c r="F1208" s="12" t="s">
        <v>821</v>
      </c>
      <c r="G1208" s="385"/>
    </row>
    <row r="1209" spans="3:7" s="12" customFormat="1" ht="12.75" customHeight="1">
      <c r="C1209" s="12" t="s">
        <v>1057</v>
      </c>
      <c r="F1209" s="12" t="s">
        <v>822</v>
      </c>
      <c r="G1209" s="8" t="s">
        <v>3409</v>
      </c>
    </row>
    <row r="1210" spans="2:7" s="12" customFormat="1" ht="12.75" customHeight="1">
      <c r="B1210" s="12" t="s">
        <v>1058</v>
      </c>
      <c r="G1210" s="11"/>
    </row>
    <row r="1211" spans="3:7" s="12" customFormat="1" ht="12.75" customHeight="1">
      <c r="C1211" s="12" t="s">
        <v>1053</v>
      </c>
      <c r="F1211" s="12" t="s">
        <v>823</v>
      </c>
      <c r="G1211" s="385"/>
    </row>
    <row r="1212" spans="3:7" s="12" customFormat="1" ht="12.75" customHeight="1">
      <c r="C1212" s="12" t="s">
        <v>2898</v>
      </c>
      <c r="F1212" s="12" t="s">
        <v>824</v>
      </c>
      <c r="G1212" s="385"/>
    </row>
    <row r="1213" spans="3:7" s="12" customFormat="1" ht="12.75" customHeight="1">
      <c r="C1213" s="12" t="s">
        <v>1060</v>
      </c>
      <c r="F1213" s="12" t="s">
        <v>825</v>
      </c>
      <c r="G1213" s="8" t="s">
        <v>3409</v>
      </c>
    </row>
    <row r="1214" spans="3:7" s="12" customFormat="1" ht="12.75" customHeight="1">
      <c r="C1214" s="12" t="s">
        <v>1061</v>
      </c>
      <c r="F1214" s="12" t="s">
        <v>826</v>
      </c>
      <c r="G1214" s="385"/>
    </row>
    <row r="1215" spans="2:7" s="12" customFormat="1" ht="12.75" customHeight="1">
      <c r="B1215" s="12" t="s">
        <v>1062</v>
      </c>
      <c r="F1215" s="12" t="s">
        <v>835</v>
      </c>
      <c r="G1215" s="8" t="s">
        <v>3409</v>
      </c>
    </row>
    <row r="1216" s="12" customFormat="1" ht="12.75" customHeight="1">
      <c r="G1216" s="11"/>
    </row>
    <row r="1217" spans="1:14" s="383" customFormat="1" ht="12.75" customHeight="1">
      <c r="A1217" s="384" t="s">
        <v>836</v>
      </c>
      <c r="B1217" s="384"/>
      <c r="C1217" s="17"/>
      <c r="D1217" s="17"/>
      <c r="E1217" s="17"/>
      <c r="G1217" s="61"/>
      <c r="K1217" s="12"/>
      <c r="L1217" s="12"/>
      <c r="M1217" s="12"/>
      <c r="N1217" s="12"/>
    </row>
    <row r="1218" spans="2:14" s="383" customFormat="1" ht="12.75" customHeight="1">
      <c r="B1218" s="383" t="s">
        <v>1044</v>
      </c>
      <c r="C1218" s="12"/>
      <c r="D1218" s="12"/>
      <c r="E1218" s="12"/>
      <c r="G1218" s="61"/>
      <c r="K1218" s="12"/>
      <c r="L1218" s="12"/>
      <c r="M1218" s="12"/>
      <c r="N1218" s="12"/>
    </row>
    <row r="1219" spans="3:13" s="383" customFormat="1" ht="12.75" customHeight="1">
      <c r="C1219" s="383" t="s">
        <v>1045</v>
      </c>
      <c r="F1219" s="383" t="s">
        <v>837</v>
      </c>
      <c r="G1219" s="385"/>
      <c r="K1219" s="12"/>
      <c r="L1219" s="12"/>
      <c r="M1219" s="12"/>
    </row>
    <row r="1220" spans="3:13" s="383" customFormat="1" ht="12.75" customHeight="1">
      <c r="C1220" s="383" t="s">
        <v>1046</v>
      </c>
      <c r="F1220" s="383" t="s">
        <v>838</v>
      </c>
      <c r="G1220" s="8" t="s">
        <v>3409</v>
      </c>
      <c r="K1220" s="12"/>
      <c r="L1220" s="12"/>
      <c r="M1220" s="12"/>
    </row>
    <row r="1221" spans="3:13" s="383" customFormat="1" ht="12.75" customHeight="1">
      <c r="C1221" s="383" t="s">
        <v>1047</v>
      </c>
      <c r="F1221" s="383" t="s">
        <v>839</v>
      </c>
      <c r="G1221" s="8" t="s">
        <v>3409</v>
      </c>
      <c r="I1221" s="12"/>
      <c r="K1221" s="12"/>
      <c r="L1221" s="12"/>
      <c r="M1221" s="12"/>
    </row>
    <row r="1222" spans="3:13" s="383" customFormat="1" ht="12.75" customHeight="1">
      <c r="C1222" s="383" t="s">
        <v>1048</v>
      </c>
      <c r="F1222" s="383" t="s">
        <v>840</v>
      </c>
      <c r="G1222" s="385"/>
      <c r="K1222" s="12"/>
      <c r="L1222" s="12"/>
      <c r="M1222" s="12"/>
    </row>
    <row r="1223" spans="3:7" s="383" customFormat="1" ht="12.75" customHeight="1">
      <c r="C1223" s="383" t="s">
        <v>1049</v>
      </c>
      <c r="F1223" s="383" t="s">
        <v>841</v>
      </c>
      <c r="G1223" s="385"/>
    </row>
    <row r="1224" spans="3:7" s="12" customFormat="1" ht="12.75" customHeight="1">
      <c r="C1224" s="12" t="s">
        <v>545</v>
      </c>
      <c r="F1224" s="12" t="s">
        <v>842</v>
      </c>
      <c r="G1224" s="8" t="s">
        <v>3409</v>
      </c>
    </row>
    <row r="1225" spans="3:7" s="12" customFormat="1" ht="12.75" customHeight="1">
      <c r="C1225" s="12" t="s">
        <v>1050</v>
      </c>
      <c r="F1225" s="12" t="s">
        <v>843</v>
      </c>
      <c r="G1225" s="8" t="s">
        <v>3409</v>
      </c>
    </row>
    <row r="1226" spans="2:7" s="12" customFormat="1" ht="12.75" customHeight="1">
      <c r="B1226" s="12" t="s">
        <v>1051</v>
      </c>
      <c r="G1226" s="11"/>
    </row>
    <row r="1227" spans="3:7" s="12" customFormat="1" ht="12.75" customHeight="1">
      <c r="C1227" s="12" t="s">
        <v>1052</v>
      </c>
      <c r="F1227" s="12" t="s">
        <v>844</v>
      </c>
      <c r="G1227" s="8" t="s">
        <v>3409</v>
      </c>
    </row>
    <row r="1228" spans="3:7" s="12" customFormat="1" ht="12.75" customHeight="1">
      <c r="C1228" s="12" t="s">
        <v>1053</v>
      </c>
      <c r="F1228" s="12" t="s">
        <v>845</v>
      </c>
      <c r="G1228" s="385"/>
    </row>
    <row r="1229" spans="3:7" s="12" customFormat="1" ht="12.75" customHeight="1">
      <c r="C1229" s="12" t="s">
        <v>1054</v>
      </c>
      <c r="F1229" s="12" t="s">
        <v>846</v>
      </c>
      <c r="G1229" s="8" t="s">
        <v>3409</v>
      </c>
    </row>
    <row r="1230" spans="3:7" s="12" customFormat="1" ht="12.75" customHeight="1">
      <c r="C1230" s="12" t="s">
        <v>1055</v>
      </c>
      <c r="F1230" s="12" t="s">
        <v>847</v>
      </c>
      <c r="G1230" s="8" t="s">
        <v>3409</v>
      </c>
    </row>
    <row r="1231" spans="3:7" s="12" customFormat="1" ht="12.75" customHeight="1">
      <c r="C1231" s="12" t="s">
        <v>545</v>
      </c>
      <c r="F1231" s="12" t="s">
        <v>848</v>
      </c>
      <c r="G1231" s="8" t="s">
        <v>3409</v>
      </c>
    </row>
    <row r="1232" spans="3:7" s="12" customFormat="1" ht="12.75" customHeight="1">
      <c r="C1232" s="12" t="s">
        <v>1056</v>
      </c>
      <c r="F1232" s="12" t="s">
        <v>849</v>
      </c>
      <c r="G1232" s="385"/>
    </row>
    <row r="1233" spans="3:7" s="12" customFormat="1" ht="12.75" customHeight="1">
      <c r="C1233" s="12" t="s">
        <v>1057</v>
      </c>
      <c r="F1233" s="12" t="s">
        <v>850</v>
      </c>
      <c r="G1233" s="8" t="s">
        <v>3409</v>
      </c>
    </row>
    <row r="1234" spans="2:7" s="12" customFormat="1" ht="12.75" customHeight="1">
      <c r="B1234" s="12" t="s">
        <v>1058</v>
      </c>
      <c r="G1234" s="11"/>
    </row>
    <row r="1235" spans="3:7" s="12" customFormat="1" ht="12.75" customHeight="1">
      <c r="C1235" s="12" t="s">
        <v>1053</v>
      </c>
      <c r="F1235" s="12" t="s">
        <v>851</v>
      </c>
      <c r="G1235" s="385"/>
    </row>
    <row r="1236" spans="3:7" s="12" customFormat="1" ht="12.75" customHeight="1">
      <c r="C1236" s="12" t="s">
        <v>2898</v>
      </c>
      <c r="F1236" s="12" t="s">
        <v>852</v>
      </c>
      <c r="G1236" s="385"/>
    </row>
    <row r="1237" spans="3:7" s="12" customFormat="1" ht="12.75" customHeight="1">
      <c r="C1237" s="12" t="s">
        <v>1060</v>
      </c>
      <c r="F1237" s="12" t="s">
        <v>853</v>
      </c>
      <c r="G1237" s="8" t="s">
        <v>3409</v>
      </c>
    </row>
    <row r="1238" spans="3:7" s="12" customFormat="1" ht="12.75" customHeight="1">
      <c r="C1238" s="12" t="s">
        <v>1061</v>
      </c>
      <c r="F1238" s="12" t="s">
        <v>854</v>
      </c>
      <c r="G1238" s="385"/>
    </row>
    <row r="1239" spans="2:7" s="12" customFormat="1" ht="12.75" customHeight="1">
      <c r="B1239" s="12" t="s">
        <v>1062</v>
      </c>
      <c r="F1239" s="12" t="s">
        <v>855</v>
      </c>
      <c r="G1239" s="8" t="s">
        <v>3409</v>
      </c>
    </row>
    <row r="1240" s="12" customFormat="1" ht="12.75" customHeight="1">
      <c r="G1240" s="11"/>
    </row>
    <row r="1241" spans="1:14" s="383" customFormat="1" ht="12.75" customHeight="1">
      <c r="A1241" s="384" t="s">
        <v>856</v>
      </c>
      <c r="B1241" s="384"/>
      <c r="C1241" s="17"/>
      <c r="D1241" s="17"/>
      <c r="E1241" s="17"/>
      <c r="G1241" s="61"/>
      <c r="K1241" s="12"/>
      <c r="L1241" s="12"/>
      <c r="M1241" s="12"/>
      <c r="N1241" s="12"/>
    </row>
    <row r="1242" spans="2:14" s="383" customFormat="1" ht="12.75" customHeight="1">
      <c r="B1242" s="383" t="s">
        <v>1044</v>
      </c>
      <c r="C1242" s="12"/>
      <c r="D1242" s="12"/>
      <c r="E1242" s="12"/>
      <c r="G1242" s="61"/>
      <c r="K1242" s="12"/>
      <c r="L1242" s="12"/>
      <c r="M1242" s="12"/>
      <c r="N1242" s="12"/>
    </row>
    <row r="1243" spans="3:13" s="383" customFormat="1" ht="12.75" customHeight="1">
      <c r="C1243" s="383" t="s">
        <v>1045</v>
      </c>
      <c r="F1243" s="383" t="s">
        <v>857</v>
      </c>
      <c r="G1243" s="385"/>
      <c r="K1243" s="12"/>
      <c r="L1243" s="12"/>
      <c r="M1243" s="12"/>
    </row>
    <row r="1244" spans="3:13" s="383" customFormat="1" ht="12.75" customHeight="1">
      <c r="C1244" s="383" t="s">
        <v>1046</v>
      </c>
      <c r="F1244" s="383" t="s">
        <v>858</v>
      </c>
      <c r="G1244" s="8" t="s">
        <v>3409</v>
      </c>
      <c r="K1244" s="12"/>
      <c r="L1244" s="12"/>
      <c r="M1244" s="12"/>
    </row>
    <row r="1245" spans="3:13" s="383" customFormat="1" ht="12.75" customHeight="1">
      <c r="C1245" s="383" t="s">
        <v>1047</v>
      </c>
      <c r="F1245" s="383" t="s">
        <v>859</v>
      </c>
      <c r="G1245" s="8" t="s">
        <v>3409</v>
      </c>
      <c r="I1245" s="12"/>
      <c r="K1245" s="12"/>
      <c r="L1245" s="12"/>
      <c r="M1245" s="12"/>
    </row>
    <row r="1246" spans="3:13" s="383" customFormat="1" ht="12.75" customHeight="1">
      <c r="C1246" s="383" t="s">
        <v>1048</v>
      </c>
      <c r="F1246" s="383" t="s">
        <v>860</v>
      </c>
      <c r="G1246" s="385"/>
      <c r="K1246" s="12"/>
      <c r="L1246" s="12"/>
      <c r="M1246" s="12"/>
    </row>
    <row r="1247" spans="3:7" s="383" customFormat="1" ht="12.75" customHeight="1">
      <c r="C1247" s="383" t="s">
        <v>1049</v>
      </c>
      <c r="F1247" s="383" t="s">
        <v>861</v>
      </c>
      <c r="G1247" s="385"/>
    </row>
    <row r="1248" spans="3:7" s="12" customFormat="1" ht="12.75" customHeight="1">
      <c r="C1248" s="12" t="s">
        <v>545</v>
      </c>
      <c r="F1248" s="12" t="s">
        <v>862</v>
      </c>
      <c r="G1248" s="8" t="s">
        <v>3409</v>
      </c>
    </row>
    <row r="1249" spans="3:7" s="12" customFormat="1" ht="12.75" customHeight="1">
      <c r="C1249" s="12" t="s">
        <v>1050</v>
      </c>
      <c r="F1249" s="12" t="s">
        <v>863</v>
      </c>
      <c r="G1249" s="8" t="s">
        <v>3409</v>
      </c>
    </row>
    <row r="1250" spans="2:7" s="12" customFormat="1" ht="12.75" customHeight="1">
      <c r="B1250" s="12" t="s">
        <v>1051</v>
      </c>
      <c r="G1250" s="11"/>
    </row>
    <row r="1251" spans="3:7" s="12" customFormat="1" ht="12.75" customHeight="1">
      <c r="C1251" s="12" t="s">
        <v>1052</v>
      </c>
      <c r="F1251" s="12" t="s">
        <v>864</v>
      </c>
      <c r="G1251" s="8" t="s">
        <v>3409</v>
      </c>
    </row>
    <row r="1252" spans="3:7" s="12" customFormat="1" ht="12.75" customHeight="1">
      <c r="C1252" s="12" t="s">
        <v>1053</v>
      </c>
      <c r="F1252" s="12" t="s">
        <v>865</v>
      </c>
      <c r="G1252" s="385"/>
    </row>
    <row r="1253" spans="3:7" s="12" customFormat="1" ht="12.75" customHeight="1">
      <c r="C1253" s="12" t="s">
        <v>1054</v>
      </c>
      <c r="F1253" s="12" t="s">
        <v>168</v>
      </c>
      <c r="G1253" s="8" t="s">
        <v>3409</v>
      </c>
    </row>
    <row r="1254" spans="3:7" s="12" customFormat="1" ht="12.75" customHeight="1">
      <c r="C1254" s="12" t="s">
        <v>1055</v>
      </c>
      <c r="F1254" s="12" t="s">
        <v>169</v>
      </c>
      <c r="G1254" s="8" t="s">
        <v>3409</v>
      </c>
    </row>
    <row r="1255" spans="3:7" s="12" customFormat="1" ht="12.75" customHeight="1">
      <c r="C1255" s="12" t="s">
        <v>545</v>
      </c>
      <c r="F1255" s="12" t="s">
        <v>170</v>
      </c>
      <c r="G1255" s="8" t="s">
        <v>3409</v>
      </c>
    </row>
    <row r="1256" spans="3:7" s="12" customFormat="1" ht="12.75" customHeight="1">
      <c r="C1256" s="12" t="s">
        <v>1056</v>
      </c>
      <c r="F1256" s="12" t="s">
        <v>1509</v>
      </c>
      <c r="G1256" s="385"/>
    </row>
    <row r="1257" spans="3:7" s="12" customFormat="1" ht="12.75" customHeight="1">
      <c r="C1257" s="12" t="s">
        <v>1057</v>
      </c>
      <c r="F1257" s="12" t="s">
        <v>1510</v>
      </c>
      <c r="G1257" s="8" t="s">
        <v>3409</v>
      </c>
    </row>
    <row r="1258" spans="2:7" s="12" customFormat="1" ht="12.75" customHeight="1">
      <c r="B1258" s="12" t="s">
        <v>1058</v>
      </c>
      <c r="G1258" s="11"/>
    </row>
    <row r="1259" spans="3:7" s="12" customFormat="1" ht="12.75" customHeight="1">
      <c r="C1259" s="12" t="s">
        <v>1053</v>
      </c>
      <c r="F1259" s="12" t="s">
        <v>1511</v>
      </c>
      <c r="G1259" s="385"/>
    </row>
    <row r="1260" spans="3:7" s="12" customFormat="1" ht="12.75" customHeight="1">
      <c r="C1260" s="12" t="s">
        <v>2898</v>
      </c>
      <c r="F1260" s="12" t="s">
        <v>1512</v>
      </c>
      <c r="G1260" s="385"/>
    </row>
    <row r="1261" spans="3:7" s="12" customFormat="1" ht="12.75" customHeight="1">
      <c r="C1261" s="12" t="s">
        <v>1060</v>
      </c>
      <c r="F1261" s="12" t="s">
        <v>1513</v>
      </c>
      <c r="G1261" s="8" t="s">
        <v>3409</v>
      </c>
    </row>
    <row r="1262" spans="3:7" s="12" customFormat="1" ht="12.75" customHeight="1">
      <c r="C1262" s="12" t="s">
        <v>1061</v>
      </c>
      <c r="F1262" s="12" t="s">
        <v>1514</v>
      </c>
      <c r="G1262" s="385"/>
    </row>
    <row r="1263" spans="2:7" s="12" customFormat="1" ht="12.75" customHeight="1">
      <c r="B1263" s="12" t="s">
        <v>1062</v>
      </c>
      <c r="F1263" s="12" t="s">
        <v>1515</v>
      </c>
      <c r="G1263" s="8" t="s">
        <v>3409</v>
      </c>
    </row>
    <row r="1264" s="12" customFormat="1" ht="12.75" customHeight="1"/>
    <row r="1265" s="12" customFormat="1" ht="12.75" customHeight="1"/>
    <row r="1266" ht="12.75" customHeight="1">
      <c r="F1266" s="318" t="s">
        <v>3409</v>
      </c>
    </row>
    <row r="1267" spans="1:6" ht="12.75" customHeight="1">
      <c r="A1267" s="49" t="s">
        <v>1710</v>
      </c>
      <c r="F1267" s="318" t="s">
        <v>3409</v>
      </c>
    </row>
  </sheetData>
  <sheetProtection/>
  <mergeCells count="1">
    <mergeCell ref="I143:J14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3"/>
  </sheetPr>
  <dimension ref="A1:K384"/>
  <sheetViews>
    <sheetView zoomScalePageLayoutView="0" workbookViewId="0" topLeftCell="A1">
      <pane ySplit="2" topLeftCell="A9" activePane="bottomLeft" state="frozen"/>
      <selection pane="topLeft" activeCell="A1" sqref="A1"/>
      <selection pane="bottomLeft" activeCell="H21" sqref="H21"/>
    </sheetView>
  </sheetViews>
  <sheetFormatPr defaultColWidth="9.33203125" defaultRowHeight="12.75" customHeight="1"/>
  <cols>
    <col min="1" max="4" width="3.83203125" style="4" customWidth="1"/>
    <col min="5" max="5" width="29.66015625" style="4" customWidth="1"/>
    <col min="6" max="6" width="21" style="4" customWidth="1"/>
    <col min="7" max="7" width="24.33203125" style="4" customWidth="1"/>
    <col min="8" max="8" width="20.83203125" style="4" customWidth="1"/>
    <col min="9" max="9" width="20.16015625" style="4" customWidth="1"/>
    <col min="10" max="20" width="18.83203125" style="4" customWidth="1"/>
    <col min="21" max="16384" width="9.33203125" style="4" customWidth="1"/>
  </cols>
  <sheetData>
    <row r="1" spans="1:11" ht="12.75" customHeight="1">
      <c r="A1" s="4" t="s">
        <v>2042</v>
      </c>
      <c r="J1" s="15" t="s">
        <v>2497</v>
      </c>
      <c r="K1" s="15"/>
    </row>
    <row r="2" spans="1:11" ht="12.75" customHeight="1">
      <c r="A2" s="4" t="s">
        <v>2043</v>
      </c>
      <c r="F2" s="4" t="s">
        <v>2044</v>
      </c>
      <c r="G2" s="4" t="s">
        <v>2867</v>
      </c>
      <c r="H2" s="4" t="s">
        <v>2046</v>
      </c>
      <c r="I2" s="4" t="s">
        <v>2868</v>
      </c>
      <c r="J2" s="15" t="s">
        <v>2498</v>
      </c>
      <c r="K2" s="15" t="s">
        <v>2499</v>
      </c>
    </row>
    <row r="5" spans="1:9" s="11" customFormat="1" ht="12.75" customHeight="1">
      <c r="A5" s="51" t="s">
        <v>2931</v>
      </c>
      <c r="B5" s="51"/>
      <c r="C5" s="51"/>
      <c r="D5" s="51"/>
      <c r="E5" s="51"/>
      <c r="F5" s="56"/>
      <c r="G5" s="56"/>
      <c r="H5" s="12"/>
      <c r="I5" s="12"/>
    </row>
    <row r="6" spans="1:10" s="11" customFormat="1" ht="12.75" customHeight="1">
      <c r="A6" s="12"/>
      <c r="B6" s="12"/>
      <c r="C6" s="12"/>
      <c r="D6" s="12"/>
      <c r="E6" s="12"/>
      <c r="F6" s="12"/>
      <c r="G6" s="12"/>
      <c r="H6" s="12"/>
      <c r="I6" s="12"/>
      <c r="J6" s="12"/>
    </row>
    <row r="7" spans="2:7" s="11" customFormat="1" ht="12.75" customHeight="1">
      <c r="B7" s="71" t="s">
        <v>2930</v>
      </c>
      <c r="C7" s="71"/>
      <c r="D7" s="71"/>
      <c r="E7" s="71"/>
      <c r="F7" s="71" t="s">
        <v>3409</v>
      </c>
      <c r="G7" s="12"/>
    </row>
    <row r="8" spans="1:9" s="11" customFormat="1" ht="12.75" customHeight="1">
      <c r="A8" s="13"/>
      <c r="B8" s="13"/>
      <c r="C8" s="13"/>
      <c r="D8" s="13"/>
      <c r="E8" s="13"/>
      <c r="F8" s="12"/>
      <c r="G8" s="12"/>
      <c r="H8" s="12"/>
      <c r="I8" s="12"/>
    </row>
    <row r="9" spans="3:10" s="11" customFormat="1" ht="12.75" customHeight="1">
      <c r="C9" s="12" t="s">
        <v>1383</v>
      </c>
      <c r="D9" s="12"/>
      <c r="E9" s="12"/>
      <c r="F9" s="12" t="s">
        <v>1384</v>
      </c>
      <c r="G9" s="17" t="s">
        <v>3410</v>
      </c>
      <c r="H9" s="12"/>
      <c r="I9" s="12"/>
      <c r="J9" s="12" t="s">
        <v>1090</v>
      </c>
    </row>
    <row r="10" spans="3:10" s="11" customFormat="1" ht="12.75" customHeight="1">
      <c r="C10" s="12" t="s">
        <v>1091</v>
      </c>
      <c r="D10" s="12"/>
      <c r="E10" s="12"/>
      <c r="F10" s="12" t="s">
        <v>1092</v>
      </c>
      <c r="G10" s="81"/>
      <c r="H10" s="12" t="s">
        <v>2786</v>
      </c>
      <c r="I10" s="18">
        <f>IF(shinsei_CHARGE_ID__bill__date="","",shinsei_CHARGE_ID__bill__date)</f>
      </c>
      <c r="J10" s="12"/>
    </row>
    <row r="11" spans="3:10" s="11" customFormat="1" ht="12.75" customHeight="1">
      <c r="C11" s="12" t="s">
        <v>1093</v>
      </c>
      <c r="D11" s="12"/>
      <c r="E11" s="12"/>
      <c r="F11" s="12" t="s">
        <v>697</v>
      </c>
      <c r="G11" s="81"/>
      <c r="H11" s="12" t="s">
        <v>2856</v>
      </c>
      <c r="I11" s="91" t="str">
        <f>IF(shinsei_CHARGE_ID__RECEIPT_DATE="",cst_DISP__date,shinsei_CHARGE_ID__RECEIPT_DATE)</f>
        <v>平成    年    月    日</v>
      </c>
      <c r="J11" s="12"/>
    </row>
    <row r="12" spans="3:10" s="11" customFormat="1" ht="12.75" customHeight="1">
      <c r="C12" s="12" t="s">
        <v>2857</v>
      </c>
      <c r="D12" s="12"/>
      <c r="E12" s="12"/>
      <c r="F12" s="12" t="s">
        <v>3411</v>
      </c>
      <c r="G12" s="14" t="s">
        <v>3412</v>
      </c>
      <c r="H12" s="12" t="s">
        <v>698</v>
      </c>
      <c r="I12" s="56" t="str">
        <f>IF(shinsei_CHARGE_ID__RECEIPT_TO="","  様",shinsei_CHARGE_ID__RECEIPT_TO&amp;"  様")</f>
        <v>株式会社　オンス  様</v>
      </c>
      <c r="J12" s="11" t="s">
        <v>699</v>
      </c>
    </row>
    <row r="13" spans="3:9" s="11" customFormat="1" ht="12.75" customHeight="1">
      <c r="C13" s="12"/>
      <c r="D13" s="12"/>
      <c r="E13" s="12"/>
      <c r="F13" s="12"/>
      <c r="G13" s="14" t="s">
        <v>3409</v>
      </c>
      <c r="H13" s="12" t="s">
        <v>829</v>
      </c>
      <c r="I13" s="56" t="str">
        <f>IF(shinsei_CHARGE_ID__RECEIPT_TO="","",shinsei_CHARGE_ID__RECEIPT_TO)</f>
        <v>株式会社　オンス</v>
      </c>
    </row>
    <row r="14" spans="3:10" s="11" customFormat="1" ht="12.75" customHeight="1">
      <c r="C14" s="12" t="s">
        <v>2244</v>
      </c>
      <c r="D14" s="12"/>
      <c r="E14" s="12"/>
      <c r="F14" s="12" t="s">
        <v>3413</v>
      </c>
      <c r="G14" s="14" t="s">
        <v>3414</v>
      </c>
      <c r="H14" s="12" t="s">
        <v>1233</v>
      </c>
      <c r="I14" s="18" t="str">
        <f>IF(shinsei_CHARGE_ID__DENPYOU_NO="","",shinsei_CHARGE_ID__DENPYOU_NO)</f>
        <v>1</v>
      </c>
      <c r="J14" s="12"/>
    </row>
    <row r="15" spans="3:10" s="11" customFormat="1" ht="12.75" customHeight="1">
      <c r="C15" s="12" t="s">
        <v>2245</v>
      </c>
      <c r="D15" s="12"/>
      <c r="E15" s="12"/>
      <c r="F15" s="12"/>
      <c r="G15" s="12"/>
      <c r="H15" s="12"/>
      <c r="I15" s="12"/>
      <c r="J15" s="12"/>
    </row>
    <row r="16" spans="3:10" s="11" customFormat="1" ht="12.75" customHeight="1">
      <c r="C16" s="12"/>
      <c r="D16" s="12" t="s">
        <v>2246</v>
      </c>
      <c r="E16" s="12"/>
      <c r="F16" s="12" t="s">
        <v>2247</v>
      </c>
      <c r="G16" s="17"/>
      <c r="H16" s="12"/>
      <c r="I16" s="12"/>
      <c r="J16" s="12"/>
    </row>
    <row r="17" spans="3:10" s="11" customFormat="1" ht="12.75" customHeight="1">
      <c r="C17" s="12"/>
      <c r="D17" s="12" t="s">
        <v>2248</v>
      </c>
      <c r="E17" s="12"/>
      <c r="F17" s="12" t="s">
        <v>2249</v>
      </c>
      <c r="G17" s="17"/>
      <c r="H17" s="12"/>
      <c r="I17" s="12"/>
      <c r="J17" s="12"/>
    </row>
    <row r="18" spans="3:10" s="11" customFormat="1" ht="12.75" customHeight="1">
      <c r="C18" s="12"/>
      <c r="D18" s="12" t="s">
        <v>2250</v>
      </c>
      <c r="E18" s="12"/>
      <c r="F18" s="12" t="s">
        <v>956</v>
      </c>
      <c r="G18" s="17"/>
      <c r="I18" s="80"/>
      <c r="J18" s="12"/>
    </row>
    <row r="19" spans="3:10" s="11" customFormat="1" ht="12.75" customHeight="1">
      <c r="C19" s="12"/>
      <c r="D19" s="12" t="s">
        <v>957</v>
      </c>
      <c r="E19" s="12"/>
      <c r="F19" s="12" t="s">
        <v>958</v>
      </c>
      <c r="G19" s="17"/>
      <c r="H19" s="12"/>
      <c r="I19" s="12"/>
      <c r="J19" s="12"/>
    </row>
    <row r="20" spans="3:10" s="11" customFormat="1" ht="12.75" customHeight="1">
      <c r="C20" s="13" t="s">
        <v>2286</v>
      </c>
      <c r="D20" s="13"/>
      <c r="E20" s="13"/>
      <c r="F20" s="12" t="s">
        <v>3415</v>
      </c>
      <c r="G20" s="14" t="s">
        <v>3409</v>
      </c>
      <c r="H20" s="12"/>
      <c r="I20" s="12"/>
      <c r="J20" s="11" t="s">
        <v>2401</v>
      </c>
    </row>
    <row r="21" spans="3:9" ht="12.75" customHeight="1">
      <c r="C21" s="12" t="s">
        <v>2099</v>
      </c>
      <c r="D21" s="12"/>
      <c r="E21" s="12"/>
      <c r="F21" s="12" t="s">
        <v>3416</v>
      </c>
      <c r="G21" s="48">
        <v>37000</v>
      </c>
      <c r="H21" s="12" t="s">
        <v>2100</v>
      </c>
      <c r="I21" s="19">
        <f>IF(shinsei_CHARGE_ID__RECEIPT_PRICE="","",shinsei_CHARGE_ID__RECEIPT_PRICE)</f>
        <v>37000</v>
      </c>
    </row>
    <row r="22" spans="3:10" ht="12.75" customHeight="1">
      <c r="C22" s="13"/>
      <c r="D22" s="13"/>
      <c r="E22" s="13"/>
      <c r="F22" s="12"/>
      <c r="G22" s="12"/>
      <c r="H22" s="12" t="s">
        <v>2101</v>
      </c>
      <c r="I22" s="47" t="str">
        <f>IF(shinsei_CHARGE_ID__RECEIPT_PRICE="","円","円也")</f>
        <v>円也</v>
      </c>
      <c r="J22" s="4" t="s">
        <v>733</v>
      </c>
    </row>
    <row r="23" spans="3:10" s="11" customFormat="1" ht="12.75" customHeight="1">
      <c r="C23" s="13" t="s">
        <v>3017</v>
      </c>
      <c r="D23" s="13"/>
      <c r="E23" s="13"/>
      <c r="F23" s="12" t="s">
        <v>3417</v>
      </c>
      <c r="G23" s="92"/>
      <c r="H23" s="12" t="s">
        <v>1234</v>
      </c>
      <c r="I23" s="19">
        <f>IF(shinsei_STR_TOTAL_CHARGE="","",shinsei_STR_TOTAL_CHARGE)</f>
      </c>
      <c r="J23" s="11" t="s">
        <v>1007</v>
      </c>
    </row>
    <row r="24" spans="3:9" s="11" customFormat="1" ht="12.75" customHeight="1">
      <c r="C24" s="13"/>
      <c r="D24" s="13"/>
      <c r="E24" s="13"/>
      <c r="F24" s="12" t="s">
        <v>2492</v>
      </c>
      <c r="G24" s="297"/>
      <c r="H24" s="12"/>
      <c r="I24" s="19"/>
    </row>
    <row r="25" spans="1:9" s="11" customFormat="1" ht="12.75" customHeight="1">
      <c r="A25" s="13"/>
      <c r="B25" s="13"/>
      <c r="C25" s="13"/>
      <c r="D25" s="13"/>
      <c r="E25" s="13"/>
      <c r="F25" s="12"/>
      <c r="G25" s="12"/>
      <c r="H25" s="12"/>
      <c r="I25" s="12"/>
    </row>
    <row r="26" spans="2:8" s="11" customFormat="1" ht="12.75" customHeight="1">
      <c r="B26" s="71" t="s">
        <v>2929</v>
      </c>
      <c r="C26" s="71"/>
      <c r="D26" s="71"/>
      <c r="E26" s="71"/>
      <c r="F26" s="71" t="s">
        <v>3409</v>
      </c>
      <c r="G26" s="12"/>
      <c r="H26" s="12"/>
    </row>
    <row r="27" spans="1:9" s="11" customFormat="1" ht="12.75" customHeight="1">
      <c r="A27" s="13"/>
      <c r="B27" s="13"/>
      <c r="C27" s="13"/>
      <c r="D27" s="13"/>
      <c r="E27" s="13"/>
      <c r="F27" s="12"/>
      <c r="G27" s="12"/>
      <c r="H27" s="12"/>
      <c r="I27" s="12"/>
    </row>
    <row r="28" spans="1:10" s="11" customFormat="1" ht="12.75" customHeight="1">
      <c r="A28" s="12"/>
      <c r="B28" s="12" t="s">
        <v>2500</v>
      </c>
      <c r="C28" s="12"/>
      <c r="D28" s="12"/>
      <c r="E28" s="12"/>
      <c r="F28" s="12" t="s">
        <v>3418</v>
      </c>
      <c r="G28" s="92">
        <v>37000</v>
      </c>
      <c r="H28" s="12" t="s">
        <v>2027</v>
      </c>
      <c r="I28" s="18">
        <f>IF(shinsei_CHARGE_ID__BASIC_CHARGE="","",shinsei_CHARGE_ID__BASIC_CHARGE)</f>
        <v>37000</v>
      </c>
      <c r="J28" s="12"/>
    </row>
    <row r="29" spans="1:10" s="11" customFormat="1" ht="12.75" customHeight="1">
      <c r="A29" s="12"/>
      <c r="B29" s="12" t="s">
        <v>2501</v>
      </c>
      <c r="C29" s="12"/>
      <c r="D29" s="12"/>
      <c r="E29" s="12"/>
      <c r="F29" s="12"/>
      <c r="G29" s="297"/>
      <c r="H29" s="12" t="s">
        <v>2502</v>
      </c>
      <c r="I29" s="56">
        <f>shinsei_CHARGE_ID__TIIKIWARIMASHI_CHARGE+shinsei_CHARGE_ID__meisai01_SYOUKEI+shinsei_CHARGE_ID__meisai02_SYOUKEI+shinsei_CHARGE_ID__meisai03_SYOUKEI+shinsei_CHARGE_ID__meisai04_SYOUKEI+shinsei_CHARGE_ID__meisai05_SYOUKEI+shinsei_CHARGE_ID__meisai06_SYOUKEI+shinsei_CHARGE_ID__meisai07_SYOUKEI+shinsei_CHARGE_ID__meisai08_SYOUKEI+shinsei_CHARGE_ID__meisai09_SYOUKEI+shinsei_CHARGE_ID__meisai10_SYOUKEI+shinsei_CHARGE_ID__meisai11_SYOUKEI</f>
        <v>0</v>
      </c>
      <c r="J29" s="12"/>
    </row>
    <row r="30" spans="1:10" s="11" customFormat="1" ht="12.75" customHeight="1">
      <c r="A30" s="12"/>
      <c r="B30" s="12" t="s">
        <v>2503</v>
      </c>
      <c r="C30" s="12"/>
      <c r="D30" s="12"/>
      <c r="E30" s="12"/>
      <c r="F30" s="12"/>
      <c r="G30" s="12"/>
      <c r="H30" s="12"/>
      <c r="I30" s="12"/>
      <c r="J30" s="12"/>
    </row>
    <row r="31" spans="1:10" s="11" customFormat="1" ht="12.75" customHeight="1">
      <c r="A31" s="12"/>
      <c r="B31" s="12"/>
      <c r="C31" s="12" t="s">
        <v>2504</v>
      </c>
      <c r="D31" s="12"/>
      <c r="E31" s="12"/>
      <c r="F31" s="12" t="s">
        <v>3419</v>
      </c>
      <c r="G31" s="92"/>
      <c r="H31" s="12" t="s">
        <v>2028</v>
      </c>
      <c r="I31" s="18">
        <f>IF(shinsei_CHARGE_ID__TIIKIWARIMASHI_SURYOU="","",shinsei_CHARGE_ID__TIIKIWARIMASHI_SURYOU)</f>
      </c>
      <c r="J31" s="12"/>
    </row>
    <row r="32" spans="1:10" s="11" customFormat="1" ht="12.75" customHeight="1">
      <c r="A32" s="12"/>
      <c r="B32" s="12"/>
      <c r="C32" s="12" t="s">
        <v>2505</v>
      </c>
      <c r="D32" s="12"/>
      <c r="E32" s="12"/>
      <c r="F32" s="12" t="s">
        <v>3420</v>
      </c>
      <c r="G32" s="92"/>
      <c r="H32" s="12" t="s">
        <v>2029</v>
      </c>
      <c r="I32" s="18">
        <f>IF(shinsei_CHARGE_ID__TIIKIWARIMASHI_TANKA="","",shinsei_CHARGE_ID__TIIKIWARIMASHI_TANKA)</f>
      </c>
      <c r="J32" s="12"/>
    </row>
    <row r="33" spans="1:10" s="11" customFormat="1" ht="12.75" customHeight="1">
      <c r="A33" s="12"/>
      <c r="B33" s="12"/>
      <c r="C33" s="12" t="s">
        <v>1007</v>
      </c>
      <c r="D33" s="12"/>
      <c r="E33" s="12"/>
      <c r="F33" s="12" t="s">
        <v>3421</v>
      </c>
      <c r="G33" s="92"/>
      <c r="H33" s="12" t="s">
        <v>2030</v>
      </c>
      <c r="I33" s="18">
        <f>IF(shinsei_CHARGE_ID__TIIKIWARIMASHI_CHARGE="","",shinsei_CHARGE_ID__TIIKIWARIMASHI_CHARGE)</f>
      </c>
      <c r="J33" s="12"/>
    </row>
    <row r="34" spans="1:10" s="11" customFormat="1" ht="12.75" customHeight="1">
      <c r="A34" s="12"/>
      <c r="B34" s="12" t="s">
        <v>2506</v>
      </c>
      <c r="C34" s="12"/>
      <c r="D34" s="12"/>
      <c r="E34" s="12"/>
      <c r="F34" s="12"/>
      <c r="G34" s="12"/>
      <c r="H34" s="12"/>
      <c r="I34" s="12"/>
      <c r="J34" s="12"/>
    </row>
    <row r="35" spans="1:10" s="11" customFormat="1" ht="12.75" customHeight="1">
      <c r="A35" s="12"/>
      <c r="C35" s="12" t="s">
        <v>2043</v>
      </c>
      <c r="D35" s="12"/>
      <c r="E35" s="12"/>
      <c r="F35" s="12" t="s">
        <v>3422</v>
      </c>
      <c r="G35" s="14" t="s">
        <v>3409</v>
      </c>
      <c r="H35" s="12" t="s">
        <v>2507</v>
      </c>
      <c r="I35" s="18">
        <f>IF(shinsei_CHARGE_ID__meisai01_ITEM_NAME="","",shinsei_CHARGE_ID__meisai01_ITEM_NAME)</f>
      </c>
      <c r="J35" s="11" t="s">
        <v>2401</v>
      </c>
    </row>
    <row r="36" spans="1:10" s="11" customFormat="1" ht="12.75" customHeight="1">
      <c r="A36" s="12"/>
      <c r="C36" s="12" t="s">
        <v>2504</v>
      </c>
      <c r="D36" s="12"/>
      <c r="E36" s="12"/>
      <c r="F36" s="12" t="s">
        <v>3423</v>
      </c>
      <c r="G36" s="92"/>
      <c r="H36" s="12" t="s">
        <v>2031</v>
      </c>
      <c r="I36" s="19">
        <f>IF(shinsei_CHARGE_ID__meisai01_SURYOU="","",shinsei_CHARGE_ID__meisai01_SURYOU)</f>
      </c>
      <c r="J36" s="12" t="s">
        <v>2508</v>
      </c>
    </row>
    <row r="37" spans="1:10" s="11" customFormat="1" ht="12.75" customHeight="1">
      <c r="A37" s="12"/>
      <c r="C37" s="12" t="s">
        <v>2505</v>
      </c>
      <c r="D37" s="12"/>
      <c r="E37" s="12"/>
      <c r="F37" s="12" t="s">
        <v>3424</v>
      </c>
      <c r="G37" s="92"/>
      <c r="H37" s="12" t="s">
        <v>2032</v>
      </c>
      <c r="I37" s="19">
        <f>IF(shinsei_CHARGE_ID__meisai01_TANKA="","",shinsei_CHARGE_ID__meisai01_TANKA)</f>
      </c>
      <c r="J37" s="12" t="s">
        <v>2508</v>
      </c>
    </row>
    <row r="38" spans="1:10" s="11" customFormat="1" ht="12.75" customHeight="1">
      <c r="A38" s="12"/>
      <c r="C38" s="12" t="s">
        <v>2509</v>
      </c>
      <c r="D38" s="12"/>
      <c r="E38" s="12"/>
      <c r="F38" s="12" t="s">
        <v>3425</v>
      </c>
      <c r="G38" s="92"/>
      <c r="H38" s="12" t="s">
        <v>2033</v>
      </c>
      <c r="I38" s="18">
        <f>IF(shinsei_CHARGE_ID__meisai01_SYOUKEI="","",shinsei_CHARGE_ID__meisai01_SYOUKEI)</f>
      </c>
      <c r="J38" s="11" t="s">
        <v>2401</v>
      </c>
    </row>
    <row r="39" spans="1:10" s="11" customFormat="1" ht="12.75" customHeight="1">
      <c r="A39" s="12"/>
      <c r="B39" s="12" t="s">
        <v>2510</v>
      </c>
      <c r="C39" s="12"/>
      <c r="D39" s="12"/>
      <c r="E39" s="12"/>
      <c r="F39" s="12"/>
      <c r="G39" s="12"/>
      <c r="H39" s="12"/>
      <c r="I39" s="12"/>
      <c r="J39" s="12"/>
    </row>
    <row r="40" spans="1:10" s="11" customFormat="1" ht="12.75" customHeight="1">
      <c r="A40" s="12"/>
      <c r="C40" s="12" t="s">
        <v>2043</v>
      </c>
      <c r="D40" s="12"/>
      <c r="E40" s="12"/>
      <c r="F40" s="12" t="s">
        <v>2511</v>
      </c>
      <c r="G40" s="14" t="s">
        <v>3409</v>
      </c>
      <c r="H40" s="12" t="s">
        <v>2512</v>
      </c>
      <c r="I40" s="18">
        <f>IF(shinsei_CHARGE_ID__meisai02_ITEM_NAME="","",shinsei_CHARGE_ID__meisai02_ITEM_NAME)</f>
      </c>
      <c r="J40" s="11" t="s">
        <v>2401</v>
      </c>
    </row>
    <row r="41" spans="1:10" s="11" customFormat="1" ht="12.75" customHeight="1">
      <c r="A41" s="12"/>
      <c r="C41" s="12" t="s">
        <v>2504</v>
      </c>
      <c r="D41" s="12"/>
      <c r="E41" s="12"/>
      <c r="F41" s="12" t="s">
        <v>2513</v>
      </c>
      <c r="G41" s="92"/>
      <c r="H41" s="12" t="s">
        <v>2796</v>
      </c>
      <c r="I41" s="19">
        <f>IF(shinsei_CHARGE_ID__meisai02_SURYOU="","",shinsei_CHARGE_ID__meisai02_SURYOU)</f>
      </c>
      <c r="J41" s="12" t="s">
        <v>2508</v>
      </c>
    </row>
    <row r="42" spans="1:10" s="11" customFormat="1" ht="12.75" customHeight="1">
      <c r="A42" s="12"/>
      <c r="C42" s="12" t="s">
        <v>2505</v>
      </c>
      <c r="D42" s="12"/>
      <c r="E42" s="12"/>
      <c r="F42" s="12" t="s">
        <v>2514</v>
      </c>
      <c r="G42" s="92"/>
      <c r="H42" s="12" t="s">
        <v>2797</v>
      </c>
      <c r="I42" s="19">
        <f>IF(shinsei_CHARGE_ID__meisai02_TANKA="","",shinsei_CHARGE_ID__meisai02_TANKA)</f>
      </c>
      <c r="J42" s="12" t="s">
        <v>2508</v>
      </c>
    </row>
    <row r="43" spans="1:10" s="11" customFormat="1" ht="12.75" customHeight="1">
      <c r="A43" s="12"/>
      <c r="C43" s="12" t="s">
        <v>2509</v>
      </c>
      <c r="D43" s="12"/>
      <c r="E43" s="12"/>
      <c r="F43" s="12" t="s">
        <v>2515</v>
      </c>
      <c r="G43" s="92"/>
      <c r="H43" s="12" t="s">
        <v>2798</v>
      </c>
      <c r="I43" s="18">
        <f>IF(shinsei_CHARGE_ID__meisai02_SYOUKEI="","",shinsei_CHARGE_ID__meisai02_SYOUKEI)</f>
      </c>
      <c r="J43" s="11" t="s">
        <v>2401</v>
      </c>
    </row>
    <row r="44" spans="1:10" s="11" customFormat="1" ht="12.75" customHeight="1">
      <c r="A44" s="12"/>
      <c r="B44" s="12" t="s">
        <v>2516</v>
      </c>
      <c r="C44" s="12"/>
      <c r="D44" s="12"/>
      <c r="E44" s="12"/>
      <c r="F44" s="12"/>
      <c r="G44" s="12"/>
      <c r="H44" s="12"/>
      <c r="I44" s="12"/>
      <c r="J44" s="12"/>
    </row>
    <row r="45" spans="1:10" s="11" customFormat="1" ht="12.75" customHeight="1">
      <c r="A45" s="12"/>
      <c r="C45" s="12" t="s">
        <v>2043</v>
      </c>
      <c r="D45" s="12"/>
      <c r="E45" s="12"/>
      <c r="F45" s="12" t="s">
        <v>2517</v>
      </c>
      <c r="G45" s="14" t="s">
        <v>3409</v>
      </c>
      <c r="H45" s="12" t="s">
        <v>2518</v>
      </c>
      <c r="I45" s="18">
        <f>IF(shinsei_CHARGE_ID__meisai03_ITEM_NAME="","",shinsei_CHARGE_ID__meisai03_ITEM_NAME)</f>
      </c>
      <c r="J45" s="11" t="s">
        <v>2401</v>
      </c>
    </row>
    <row r="46" spans="1:10" s="11" customFormat="1" ht="12.75" customHeight="1">
      <c r="A46" s="12"/>
      <c r="C46" s="12" t="s">
        <v>2504</v>
      </c>
      <c r="D46" s="12"/>
      <c r="E46" s="12"/>
      <c r="F46" s="12" t="s">
        <v>2519</v>
      </c>
      <c r="G46" s="92"/>
      <c r="H46" s="12" t="s">
        <v>2799</v>
      </c>
      <c r="I46" s="19">
        <f>IF(shinsei_CHARGE_ID__meisai03_SURYOU="","",shinsei_CHARGE_ID__meisai03_SURYOU)</f>
      </c>
      <c r="J46" s="12" t="s">
        <v>2508</v>
      </c>
    </row>
    <row r="47" spans="1:10" s="11" customFormat="1" ht="12.75" customHeight="1">
      <c r="A47" s="12"/>
      <c r="C47" s="12" t="s">
        <v>2505</v>
      </c>
      <c r="D47" s="12"/>
      <c r="E47" s="12"/>
      <c r="F47" s="12" t="s">
        <v>2520</v>
      </c>
      <c r="G47" s="92"/>
      <c r="H47" s="12" t="s">
        <v>2800</v>
      </c>
      <c r="I47" s="19">
        <f>IF(shinsei_CHARGE_ID__meisai03_TANKA="","",v)</f>
      </c>
      <c r="J47" s="12" t="s">
        <v>2508</v>
      </c>
    </row>
    <row r="48" spans="1:10" s="11" customFormat="1" ht="12.75" customHeight="1">
      <c r="A48" s="12"/>
      <c r="C48" s="12" t="s">
        <v>2509</v>
      </c>
      <c r="D48" s="12"/>
      <c r="E48" s="12"/>
      <c r="F48" s="12" t="s">
        <v>2521</v>
      </c>
      <c r="G48" s="92"/>
      <c r="H48" s="12" t="s">
        <v>2550</v>
      </c>
      <c r="I48" s="18">
        <f>IF(shinsei_CHARGE_ID__meisai03_SYOUKEI="","",shinsei_CHARGE_ID__meisai03_SYOUKEI)</f>
      </c>
      <c r="J48" s="11" t="s">
        <v>2401</v>
      </c>
    </row>
    <row r="49" spans="1:10" s="11" customFormat="1" ht="12.75" customHeight="1">
      <c r="A49" s="12"/>
      <c r="B49" s="12" t="s">
        <v>2522</v>
      </c>
      <c r="C49" s="12"/>
      <c r="D49" s="12"/>
      <c r="E49" s="12"/>
      <c r="F49" s="12"/>
      <c r="G49" s="12"/>
      <c r="H49" s="12"/>
      <c r="I49" s="12"/>
      <c r="J49" s="12"/>
    </row>
    <row r="50" spans="1:10" s="11" customFormat="1" ht="12.75" customHeight="1">
      <c r="A50" s="12"/>
      <c r="C50" s="12" t="s">
        <v>2043</v>
      </c>
      <c r="D50" s="12"/>
      <c r="E50" s="12"/>
      <c r="F50" s="12" t="s">
        <v>2523</v>
      </c>
      <c r="G50" s="14" t="s">
        <v>3409</v>
      </c>
      <c r="H50" s="12" t="s">
        <v>2524</v>
      </c>
      <c r="I50" s="18">
        <f>IF(shinsei_CHARGE_ID__meisai04_ITEM_NAME="","",shinsei_CHARGE_ID__meisai04_ITEM_NAME)</f>
      </c>
      <c r="J50" s="11" t="s">
        <v>2401</v>
      </c>
    </row>
    <row r="51" spans="1:10" s="11" customFormat="1" ht="12.75" customHeight="1">
      <c r="A51" s="12"/>
      <c r="C51" s="12" t="s">
        <v>2504</v>
      </c>
      <c r="D51" s="12"/>
      <c r="E51" s="12"/>
      <c r="F51" s="12" t="s">
        <v>2525</v>
      </c>
      <c r="G51" s="92"/>
      <c r="H51" s="12" t="s">
        <v>2145</v>
      </c>
      <c r="I51" s="19">
        <f>IF(shinsei_CHARGE_ID__meisai04_SURYOU="","",shinsei_CHARGE_ID__meisai04_SURYOU)</f>
      </c>
      <c r="J51" s="12" t="s">
        <v>2508</v>
      </c>
    </row>
    <row r="52" spans="1:10" s="11" customFormat="1" ht="12.75" customHeight="1">
      <c r="A52" s="12"/>
      <c r="C52" s="12" t="s">
        <v>2505</v>
      </c>
      <c r="D52" s="12"/>
      <c r="E52" s="12"/>
      <c r="F52" s="12" t="s">
        <v>2526</v>
      </c>
      <c r="G52" s="92"/>
      <c r="H52" s="12" t="s">
        <v>2146</v>
      </c>
      <c r="I52" s="19">
        <f>IF(shinsei_CHARGE_ID__meisai04_TANKA="","",shinsei_CHARGE_ID__meisai04_TANKA)</f>
      </c>
      <c r="J52" s="12" t="s">
        <v>2508</v>
      </c>
    </row>
    <row r="53" spans="1:10" s="11" customFormat="1" ht="12.75" customHeight="1">
      <c r="A53" s="12"/>
      <c r="C53" s="12" t="s">
        <v>2509</v>
      </c>
      <c r="D53" s="12"/>
      <c r="E53" s="12"/>
      <c r="F53" s="12" t="s">
        <v>2527</v>
      </c>
      <c r="G53" s="92"/>
      <c r="H53" s="12" t="s">
        <v>2147</v>
      </c>
      <c r="I53" s="18">
        <f>IF(shinsei_CHARGE_ID__meisai04_SYOUKEI="","",shinsei_CHARGE_ID__meisai04_SYOUKEI)</f>
      </c>
      <c r="J53" s="11" t="s">
        <v>2401</v>
      </c>
    </row>
    <row r="54" spans="1:10" s="11" customFormat="1" ht="12.75" customHeight="1">
      <c r="A54" s="12"/>
      <c r="B54" s="12" t="s">
        <v>2528</v>
      </c>
      <c r="C54" s="12"/>
      <c r="D54" s="12"/>
      <c r="E54" s="12"/>
      <c r="F54" s="12"/>
      <c r="G54" s="12"/>
      <c r="H54" s="12"/>
      <c r="I54" s="12"/>
      <c r="J54" s="12"/>
    </row>
    <row r="55" spans="1:10" s="11" customFormat="1" ht="12.75" customHeight="1">
      <c r="A55" s="12"/>
      <c r="C55" s="12" t="s">
        <v>2043</v>
      </c>
      <c r="D55" s="12"/>
      <c r="E55" s="12"/>
      <c r="F55" s="12" t="s">
        <v>1293</v>
      </c>
      <c r="G55" s="14" t="s">
        <v>3409</v>
      </c>
      <c r="H55" s="12" t="s">
        <v>1294</v>
      </c>
      <c r="I55" s="18">
        <f>IF(shinsei_CHARGE_ID__meisai05_ITEM_NAME="","",shinsei_CHARGE_ID__meisai05_ITEM_NAME)</f>
      </c>
      <c r="J55" s="11" t="s">
        <v>2401</v>
      </c>
    </row>
    <row r="56" spans="1:10" s="11" customFormat="1" ht="12.75" customHeight="1">
      <c r="A56" s="12"/>
      <c r="C56" s="12" t="s">
        <v>2504</v>
      </c>
      <c r="D56" s="12"/>
      <c r="E56" s="12"/>
      <c r="F56" s="12" t="s">
        <v>1295</v>
      </c>
      <c r="G56" s="92"/>
      <c r="H56" s="12" t="s">
        <v>2148</v>
      </c>
      <c r="I56" s="19">
        <f>IF(shinsei_CHARGE_ID__meisai05_SURYOU="","",shinsei_CHARGE_ID__meisai05_SURYOU)</f>
      </c>
      <c r="J56" s="12" t="s">
        <v>2508</v>
      </c>
    </row>
    <row r="57" spans="1:10" s="11" customFormat="1" ht="12.75" customHeight="1">
      <c r="A57" s="12"/>
      <c r="C57" s="12" t="s">
        <v>2505</v>
      </c>
      <c r="D57" s="12"/>
      <c r="E57" s="12"/>
      <c r="F57" s="12" t="s">
        <v>1296</v>
      </c>
      <c r="G57" s="92"/>
      <c r="H57" s="12" t="s">
        <v>2149</v>
      </c>
      <c r="I57" s="19">
        <f>IF(shinsei_CHARGE_ID__meisai05_TANKA="","",shinsei_CHARGE_ID__meisai05_TANKA)</f>
      </c>
      <c r="J57" s="12" t="s">
        <v>2508</v>
      </c>
    </row>
    <row r="58" spans="1:10" s="11" customFormat="1" ht="12.75" customHeight="1">
      <c r="A58" s="12"/>
      <c r="C58" s="12" t="s">
        <v>2509</v>
      </c>
      <c r="D58" s="12"/>
      <c r="E58" s="12"/>
      <c r="F58" s="12" t="s">
        <v>1297</v>
      </c>
      <c r="G58" s="92"/>
      <c r="H58" s="12" t="s">
        <v>2150</v>
      </c>
      <c r="I58" s="18">
        <f>IF(shinsei_CHARGE_ID__meisai05_SYOUKEI="","",shinsei_CHARGE_ID__meisai05_SYOUKEI)</f>
      </c>
      <c r="J58" s="11" t="s">
        <v>2401</v>
      </c>
    </row>
    <row r="59" spans="1:10" s="11" customFormat="1" ht="12.75" customHeight="1">
      <c r="A59" s="12"/>
      <c r="B59" s="12" t="s">
        <v>1298</v>
      </c>
      <c r="C59" s="12"/>
      <c r="D59" s="12"/>
      <c r="E59" s="12"/>
      <c r="F59" s="12"/>
      <c r="G59" s="12"/>
      <c r="H59" s="12"/>
      <c r="I59" s="12"/>
      <c r="J59" s="12"/>
    </row>
    <row r="60" spans="1:10" s="11" customFormat="1" ht="12.75" customHeight="1">
      <c r="A60" s="12"/>
      <c r="C60" s="12" t="s">
        <v>2043</v>
      </c>
      <c r="D60" s="12"/>
      <c r="E60" s="12"/>
      <c r="F60" s="12" t="s">
        <v>3426</v>
      </c>
      <c r="G60" s="14" t="s">
        <v>3409</v>
      </c>
      <c r="H60" s="12" t="s">
        <v>3116</v>
      </c>
      <c r="I60" s="18">
        <f>IF(shinsei_CHARGE_ID__meisai06_ITEM_NAME="","",shinsei_CHARGE_ID__meisai06_ITEM_NAME)</f>
      </c>
      <c r="J60" s="11" t="s">
        <v>2401</v>
      </c>
    </row>
    <row r="61" spans="1:10" s="11" customFormat="1" ht="12.75" customHeight="1">
      <c r="A61" s="12"/>
      <c r="C61" s="12" t="s">
        <v>2504</v>
      </c>
      <c r="D61" s="12"/>
      <c r="E61" s="12"/>
      <c r="F61" s="12" t="s">
        <v>3427</v>
      </c>
      <c r="G61" s="92"/>
      <c r="H61" s="12" t="s">
        <v>2151</v>
      </c>
      <c r="I61" s="19">
        <f>IF(shinsei_CHARGE_ID__meisai06_SURYOU="","",shinsei_CHARGE_ID__meisai06_SURYOU)</f>
      </c>
      <c r="J61" s="12" t="s">
        <v>2508</v>
      </c>
    </row>
    <row r="62" spans="1:10" s="11" customFormat="1" ht="12.75" customHeight="1">
      <c r="A62" s="12"/>
      <c r="C62" s="12" t="s">
        <v>2505</v>
      </c>
      <c r="D62" s="12"/>
      <c r="E62" s="12"/>
      <c r="F62" s="12" t="s">
        <v>3428</v>
      </c>
      <c r="G62" s="92"/>
      <c r="H62" s="12" t="s">
        <v>2107</v>
      </c>
      <c r="I62" s="19">
        <f>IF(shinsei_CHARGE_ID__meisai06_TANKA="","",shinsei_CHARGE_ID__meisai06_TANKA)</f>
      </c>
      <c r="J62" s="12" t="s">
        <v>2508</v>
      </c>
    </row>
    <row r="63" spans="1:10" s="11" customFormat="1" ht="12.75" customHeight="1">
      <c r="A63" s="12"/>
      <c r="C63" s="12" t="s">
        <v>2509</v>
      </c>
      <c r="D63" s="12"/>
      <c r="E63" s="12"/>
      <c r="F63" s="12" t="s">
        <v>3429</v>
      </c>
      <c r="G63" s="92"/>
      <c r="H63" s="12" t="s">
        <v>614</v>
      </c>
      <c r="I63" s="18">
        <f>IF(shinsei_CHARGE_ID__meisai06_SYOUKEI="","",shinsei_CHARGE_ID__meisai06_SYOUKEI)</f>
      </c>
      <c r="J63" s="11" t="s">
        <v>2401</v>
      </c>
    </row>
    <row r="64" spans="1:10" s="11" customFormat="1" ht="12.75" customHeight="1">
      <c r="A64" s="12"/>
      <c r="B64" s="12" t="s">
        <v>1299</v>
      </c>
      <c r="C64" s="12"/>
      <c r="D64" s="12"/>
      <c r="E64" s="12"/>
      <c r="F64" s="12"/>
      <c r="G64" s="12"/>
      <c r="H64" s="12"/>
      <c r="I64" s="12"/>
      <c r="J64" s="12"/>
    </row>
    <row r="65" spans="1:10" s="11" customFormat="1" ht="12.75" customHeight="1">
      <c r="A65" s="12"/>
      <c r="C65" s="12" t="s">
        <v>2043</v>
      </c>
      <c r="D65" s="12"/>
      <c r="E65" s="12"/>
      <c r="F65" s="12" t="s">
        <v>3430</v>
      </c>
      <c r="G65" s="14" t="s">
        <v>3409</v>
      </c>
      <c r="H65" s="12" t="s">
        <v>1300</v>
      </c>
      <c r="I65" s="18">
        <f>IF(shinsei_CHARGE_ID__meisai07_ITEM_NAME="","",shinsei_CHARGE_ID__meisai07_ITEM_NAME)</f>
      </c>
      <c r="J65" s="11" t="s">
        <v>2401</v>
      </c>
    </row>
    <row r="66" spans="1:10" s="11" customFormat="1" ht="12.75" customHeight="1">
      <c r="A66" s="12"/>
      <c r="C66" s="12" t="s">
        <v>2504</v>
      </c>
      <c r="D66" s="12"/>
      <c r="E66" s="12"/>
      <c r="F66" s="12" t="s">
        <v>3431</v>
      </c>
      <c r="G66" s="92"/>
      <c r="H66" s="12" t="s">
        <v>615</v>
      </c>
      <c r="I66" s="19">
        <f>IF(shinsei_CHARGE_ID__meisai07_SURYOU="","",shinsei_CHARGE_ID__meisai07_SURYOU)</f>
      </c>
      <c r="J66" s="12" t="s">
        <v>2508</v>
      </c>
    </row>
    <row r="67" spans="1:10" s="11" customFormat="1" ht="12.75" customHeight="1">
      <c r="A67" s="12"/>
      <c r="C67" s="12" t="s">
        <v>2505</v>
      </c>
      <c r="D67" s="12"/>
      <c r="E67" s="12"/>
      <c r="F67" s="12" t="s">
        <v>3432</v>
      </c>
      <c r="G67" s="92"/>
      <c r="H67" s="12" t="s">
        <v>616</v>
      </c>
      <c r="I67" s="19">
        <f>IF(shinsei_CHARGE_ID__meisai07_TANKA="","",shinsei_CHARGE_ID__meisai07_TANKA)</f>
      </c>
      <c r="J67" s="12" t="s">
        <v>2508</v>
      </c>
    </row>
    <row r="68" spans="1:10" s="11" customFormat="1" ht="12.75" customHeight="1">
      <c r="A68" s="12"/>
      <c r="C68" s="12" t="s">
        <v>2509</v>
      </c>
      <c r="D68" s="12"/>
      <c r="E68" s="12"/>
      <c r="F68" s="12" t="s">
        <v>3433</v>
      </c>
      <c r="G68" s="92"/>
      <c r="H68" s="12" t="s">
        <v>617</v>
      </c>
      <c r="I68" s="18">
        <f>IF(shinsei_CHARGE_ID__meisai07_SYOUKEI="","",shinsei_CHARGE_ID__meisai07_SYOUKEI)</f>
      </c>
      <c r="J68" s="11" t="s">
        <v>2401</v>
      </c>
    </row>
    <row r="69" spans="1:10" s="11" customFormat="1" ht="12.75" customHeight="1">
      <c r="A69" s="12"/>
      <c r="B69" s="12" t="s">
        <v>1301</v>
      </c>
      <c r="C69" s="12"/>
      <c r="D69" s="12"/>
      <c r="E69" s="12"/>
      <c r="F69" s="12"/>
      <c r="G69" s="12"/>
      <c r="H69" s="12"/>
      <c r="I69" s="12"/>
      <c r="J69" s="12"/>
    </row>
    <row r="70" spans="1:10" s="11" customFormat="1" ht="12.75" customHeight="1">
      <c r="A70" s="12"/>
      <c r="C70" s="12" t="s">
        <v>2043</v>
      </c>
      <c r="D70" s="12"/>
      <c r="E70" s="12"/>
      <c r="F70" s="12" t="s">
        <v>3434</v>
      </c>
      <c r="G70" s="14" t="s">
        <v>3409</v>
      </c>
      <c r="H70" s="12" t="s">
        <v>3122</v>
      </c>
      <c r="I70" s="18">
        <f>IF(shinsei_CHARGE_ID__meisai08_ITEM_NAME="","",shinsei_CHARGE_ID__meisai08_ITEM_NAME)</f>
      </c>
      <c r="J70" s="11" t="s">
        <v>2401</v>
      </c>
    </row>
    <row r="71" spans="1:10" s="11" customFormat="1" ht="12.75" customHeight="1">
      <c r="A71" s="12"/>
      <c r="C71" s="12" t="s">
        <v>2504</v>
      </c>
      <c r="D71" s="12"/>
      <c r="E71" s="12"/>
      <c r="F71" s="12" t="s">
        <v>3435</v>
      </c>
      <c r="G71" s="92"/>
      <c r="H71" s="12" t="s">
        <v>618</v>
      </c>
      <c r="I71" s="19">
        <f>IF(shinsei_CHARGE_ID__meisai08_SURYOU="","",shinsei_CHARGE_ID__meisai08_SURYOU)</f>
      </c>
      <c r="J71" s="12" t="s">
        <v>2508</v>
      </c>
    </row>
    <row r="72" spans="1:10" s="11" customFormat="1" ht="12.75" customHeight="1">
      <c r="A72" s="12"/>
      <c r="C72" s="12" t="s">
        <v>2505</v>
      </c>
      <c r="D72" s="12"/>
      <c r="E72" s="12"/>
      <c r="F72" s="12" t="s">
        <v>3436</v>
      </c>
      <c r="G72" s="92"/>
      <c r="H72" s="12" t="s">
        <v>321</v>
      </c>
      <c r="I72" s="19">
        <f>IF(shinsei_CHARGE_ID__meisai08_TANKA="","",shinsei_CHARGE_ID__meisai08_TANKA)</f>
      </c>
      <c r="J72" s="12" t="s">
        <v>2508</v>
      </c>
    </row>
    <row r="73" spans="1:10" s="11" customFormat="1" ht="12.75" customHeight="1">
      <c r="A73" s="12"/>
      <c r="C73" s="12" t="s">
        <v>2509</v>
      </c>
      <c r="D73" s="12"/>
      <c r="E73" s="12"/>
      <c r="F73" s="12" t="s">
        <v>3437</v>
      </c>
      <c r="G73" s="92"/>
      <c r="H73" s="12" t="s">
        <v>322</v>
      </c>
      <c r="I73" s="18">
        <f>IF(shinsei_CHARGE_ID__meisai08_SYOUKEI="","",shinsei_CHARGE_ID__meisai08_SYOUKEI)</f>
      </c>
      <c r="J73" s="11" t="s">
        <v>2401</v>
      </c>
    </row>
    <row r="74" spans="1:10" s="11" customFormat="1" ht="12.75" customHeight="1">
      <c r="A74" s="12"/>
      <c r="B74" s="12" t="s">
        <v>3123</v>
      </c>
      <c r="C74" s="12"/>
      <c r="D74" s="12"/>
      <c r="E74" s="12"/>
      <c r="F74" s="12"/>
      <c r="G74" s="12"/>
      <c r="H74" s="12"/>
      <c r="I74" s="12"/>
      <c r="J74" s="12"/>
    </row>
    <row r="75" spans="1:10" s="11" customFormat="1" ht="12.75" customHeight="1">
      <c r="A75" s="12"/>
      <c r="C75" s="12" t="s">
        <v>2043</v>
      </c>
      <c r="D75" s="12"/>
      <c r="E75" s="12"/>
      <c r="F75" s="12" t="s">
        <v>3438</v>
      </c>
      <c r="G75" s="14" t="s">
        <v>3409</v>
      </c>
      <c r="H75" s="12" t="s">
        <v>3124</v>
      </c>
      <c r="I75" s="18">
        <f>IF(shinsei_CHARGE_ID__meisai09_ITEM_NAME="","",shinsei_CHARGE_ID__meisai09_ITEM_NAME)</f>
      </c>
      <c r="J75" s="11" t="s">
        <v>2401</v>
      </c>
    </row>
    <row r="76" spans="1:10" s="11" customFormat="1" ht="12.75" customHeight="1">
      <c r="A76" s="12"/>
      <c r="C76" s="12" t="s">
        <v>2504</v>
      </c>
      <c r="D76" s="12"/>
      <c r="E76" s="12"/>
      <c r="F76" s="12" t="s">
        <v>3439</v>
      </c>
      <c r="G76" s="92"/>
      <c r="H76" s="12" t="s">
        <v>323</v>
      </c>
      <c r="I76" s="19">
        <f>IF(shinsei_CHARGE_ID__meisai09_SURYOU="","",shinsei_CHARGE_ID__meisai09_SURYOU)</f>
      </c>
      <c r="J76" s="12" t="s">
        <v>2508</v>
      </c>
    </row>
    <row r="77" spans="1:10" s="11" customFormat="1" ht="12.75" customHeight="1">
      <c r="A77" s="12"/>
      <c r="C77" s="12" t="s">
        <v>2505</v>
      </c>
      <c r="D77" s="12"/>
      <c r="E77" s="12"/>
      <c r="F77" s="12" t="s">
        <v>3440</v>
      </c>
      <c r="G77" s="92"/>
      <c r="H77" s="12" t="s">
        <v>324</v>
      </c>
      <c r="I77" s="19">
        <f>IF(shinsei_CHARGE_ID__meisai09_TANKA="","",shinsei_CHARGE_ID__meisai09_TANKA)</f>
      </c>
      <c r="J77" s="12" t="s">
        <v>2508</v>
      </c>
    </row>
    <row r="78" spans="1:10" s="11" customFormat="1" ht="12.75" customHeight="1">
      <c r="A78" s="12"/>
      <c r="C78" s="12" t="s">
        <v>2509</v>
      </c>
      <c r="D78" s="12"/>
      <c r="E78" s="12"/>
      <c r="F78" s="12" t="s">
        <v>3441</v>
      </c>
      <c r="G78" s="92"/>
      <c r="H78" s="12" t="s">
        <v>325</v>
      </c>
      <c r="I78" s="18">
        <f>IF(shinsei_CHARGE_ID__meisai09_SYOUKEI="","",shinsei_CHARGE_ID__meisai09_SYOUKEI)</f>
      </c>
      <c r="J78" s="11" t="s">
        <v>2401</v>
      </c>
    </row>
    <row r="79" spans="1:10" s="11" customFormat="1" ht="12.75" customHeight="1">
      <c r="A79" s="12"/>
      <c r="B79" s="12" t="s">
        <v>3125</v>
      </c>
      <c r="C79" s="12"/>
      <c r="D79" s="12"/>
      <c r="E79" s="12"/>
      <c r="F79" s="12"/>
      <c r="G79" s="12"/>
      <c r="H79" s="12"/>
      <c r="I79" s="12"/>
      <c r="J79" s="12"/>
    </row>
    <row r="80" spans="1:10" s="11" customFormat="1" ht="12.75" customHeight="1">
      <c r="A80" s="12"/>
      <c r="C80" s="12" t="s">
        <v>2043</v>
      </c>
      <c r="D80" s="12"/>
      <c r="E80" s="12"/>
      <c r="F80" s="12" t="s">
        <v>3442</v>
      </c>
      <c r="G80" s="14" t="s">
        <v>3409</v>
      </c>
      <c r="H80" s="12" t="s">
        <v>3126</v>
      </c>
      <c r="I80" s="18">
        <f>IF(shinsei_CHARGE_ID__meisai10_ITEM_NAME="","",shinsei_CHARGE_ID__meisai10_ITEM_NAME)</f>
      </c>
      <c r="J80" s="11" t="s">
        <v>2401</v>
      </c>
    </row>
    <row r="81" spans="1:10" s="11" customFormat="1" ht="12.75" customHeight="1">
      <c r="A81" s="12"/>
      <c r="C81" s="12" t="s">
        <v>2504</v>
      </c>
      <c r="D81" s="12"/>
      <c r="E81" s="12"/>
      <c r="F81" s="12" t="s">
        <v>3443</v>
      </c>
      <c r="G81" s="92"/>
      <c r="H81" s="12" t="s">
        <v>630</v>
      </c>
      <c r="I81" s="19">
        <f>IF(shinsei_CHARGE_ID__meisai10_SURYOU="","",shinsei_CHARGE_ID__meisai10_SURYOU)</f>
      </c>
      <c r="J81" s="12" t="s">
        <v>2508</v>
      </c>
    </row>
    <row r="82" spans="1:10" s="11" customFormat="1" ht="12.75" customHeight="1">
      <c r="A82" s="12"/>
      <c r="C82" s="12" t="s">
        <v>2505</v>
      </c>
      <c r="D82" s="12"/>
      <c r="E82" s="12"/>
      <c r="F82" s="12" t="s">
        <v>3444</v>
      </c>
      <c r="G82" s="92"/>
      <c r="H82" s="12" t="s">
        <v>2122</v>
      </c>
      <c r="I82" s="19">
        <f>IF(shinsei_CHARGE_ID__meisai10_TANKA="","",shinsei_CHARGE_ID__meisai10_TANKA)</f>
      </c>
      <c r="J82" s="12" t="s">
        <v>2508</v>
      </c>
    </row>
    <row r="83" spans="1:10" s="11" customFormat="1" ht="12.75" customHeight="1">
      <c r="A83" s="12"/>
      <c r="C83" s="12" t="s">
        <v>2509</v>
      </c>
      <c r="D83" s="12"/>
      <c r="E83" s="12"/>
      <c r="F83" s="12" t="s">
        <v>3445</v>
      </c>
      <c r="G83" s="92"/>
      <c r="H83" s="12" t="s">
        <v>2123</v>
      </c>
      <c r="I83" s="18">
        <f>IF(shinsei_CHARGE_ID__meisai10_SYOUKEI="","",shinsei_CHARGE_ID__meisai10_SYOUKEI)</f>
      </c>
      <c r="J83" s="11" t="s">
        <v>2401</v>
      </c>
    </row>
    <row r="84" spans="1:10" s="11" customFormat="1" ht="12.75" customHeight="1">
      <c r="A84" s="12"/>
      <c r="B84" s="12" t="s">
        <v>3127</v>
      </c>
      <c r="C84" s="12"/>
      <c r="D84" s="12"/>
      <c r="E84" s="12"/>
      <c r="F84" s="12"/>
      <c r="G84" s="12"/>
      <c r="H84" s="12"/>
      <c r="I84" s="12"/>
      <c r="J84" s="12"/>
    </row>
    <row r="85" spans="1:10" s="11" customFormat="1" ht="12.75" customHeight="1">
      <c r="A85" s="12"/>
      <c r="C85" s="12" t="s">
        <v>2043</v>
      </c>
      <c r="D85" s="12"/>
      <c r="E85" s="12"/>
      <c r="F85" s="12" t="s">
        <v>3446</v>
      </c>
      <c r="G85" s="14" t="s">
        <v>3409</v>
      </c>
      <c r="H85" s="12" t="s">
        <v>2831</v>
      </c>
      <c r="I85" s="18">
        <f>IF(shinsei_CHARGE_ID__meisai11_ITEM_NAME="","",shinsei_CHARGE_ID__meisai11_ITEM_NAME)</f>
      </c>
      <c r="J85" s="11" t="s">
        <v>2401</v>
      </c>
    </row>
    <row r="86" spans="1:10" s="11" customFormat="1" ht="12.75" customHeight="1">
      <c r="A86" s="12"/>
      <c r="C86" s="12" t="s">
        <v>2504</v>
      </c>
      <c r="D86" s="12"/>
      <c r="E86" s="12"/>
      <c r="F86" s="12" t="s">
        <v>3447</v>
      </c>
      <c r="G86" s="92"/>
      <c r="H86" s="12" t="s">
        <v>2124</v>
      </c>
      <c r="I86" s="19">
        <f>IF(shinsei_CHARGE_ID__meisai11_SURYOU="","",shinsei_CHARGE_ID__meisai11_SURYOU)</f>
      </c>
      <c r="J86" s="12" t="s">
        <v>2508</v>
      </c>
    </row>
    <row r="87" spans="1:10" s="11" customFormat="1" ht="12.75" customHeight="1">
      <c r="A87" s="12"/>
      <c r="C87" s="12" t="s">
        <v>2505</v>
      </c>
      <c r="D87" s="12"/>
      <c r="E87" s="12"/>
      <c r="F87" s="12" t="s">
        <v>3448</v>
      </c>
      <c r="G87" s="92"/>
      <c r="H87" s="12" t="s">
        <v>2125</v>
      </c>
      <c r="I87" s="19">
        <f>IF(shinsei_CHARGE_ID__meisai11_TANKA="","",shinsei_CHARGE_ID__meisai11_TANKA)</f>
      </c>
      <c r="J87" s="12" t="s">
        <v>2508</v>
      </c>
    </row>
    <row r="88" spans="1:10" s="11" customFormat="1" ht="12.75" customHeight="1">
      <c r="A88" s="12"/>
      <c r="C88" s="12" t="s">
        <v>2509</v>
      </c>
      <c r="D88" s="12"/>
      <c r="E88" s="12"/>
      <c r="F88" s="12" t="s">
        <v>3449</v>
      </c>
      <c r="G88" s="92"/>
      <c r="H88" s="12" t="s">
        <v>2126</v>
      </c>
      <c r="I88" s="18">
        <f>IF(shinsei_CHARGE_ID__meisai11_SYOUKEI="","",shinsei_CHARGE_ID__meisai11_SYOUKEI)</f>
      </c>
      <c r="J88" s="11" t="s">
        <v>2401</v>
      </c>
    </row>
    <row r="89" spans="1:10" s="11" customFormat="1" ht="12.75" customHeight="1">
      <c r="A89" s="12"/>
      <c r="B89" s="12"/>
      <c r="C89" s="12"/>
      <c r="D89" s="12"/>
      <c r="E89" s="12"/>
      <c r="F89" s="12"/>
      <c r="G89" s="12"/>
      <c r="H89" s="12"/>
      <c r="I89" s="12"/>
      <c r="J89" s="12"/>
    </row>
    <row r="91" spans="2:9" ht="12.75" customHeight="1">
      <c r="B91" s="4" t="s">
        <v>2127</v>
      </c>
      <c r="F91" s="4" t="s">
        <v>3450</v>
      </c>
      <c r="G91" s="295"/>
      <c r="H91" s="4" t="s">
        <v>2128</v>
      </c>
      <c r="I91" s="16">
        <f>IF(shinsei_CHARGE_ID__income01_INCOME_DATE="","",shinsei_CHARGE_ID__income01_INCOME_DATE)</f>
      </c>
    </row>
    <row r="92" spans="2:9" ht="12.75" customHeight="1">
      <c r="B92" s="4" t="s">
        <v>2129</v>
      </c>
      <c r="F92" s="4" t="s">
        <v>3451</v>
      </c>
      <c r="G92" s="295"/>
      <c r="H92" s="4" t="s">
        <v>2130</v>
      </c>
      <c r="I92" s="16">
        <f>IF(shinsei_CHARGE_ID__income02_INCOME_DATE="","",shinsei_CHARGE_ID__income02_INCOME_DATE)</f>
      </c>
    </row>
    <row r="93" spans="2:9" ht="12.75" customHeight="1">
      <c r="B93" s="4" t="s">
        <v>2131</v>
      </c>
      <c r="F93" s="4" t="s">
        <v>3452</v>
      </c>
      <c r="G93" s="295"/>
      <c r="H93" s="4" t="s">
        <v>2132</v>
      </c>
      <c r="I93" s="16">
        <f>IF(shinsei_CHARGE_ID__income03_INCOME_DATE="","",shinsei_CHARGE_ID__income03_INCOME_DATE)</f>
      </c>
    </row>
    <row r="94" spans="2:9" ht="12.75" customHeight="1">
      <c r="B94" s="4" t="s">
        <v>2133</v>
      </c>
      <c r="F94" s="4" t="s">
        <v>3453</v>
      </c>
      <c r="G94" s="48"/>
      <c r="H94" s="4" t="s">
        <v>2134</v>
      </c>
      <c r="I94" s="16">
        <f>IF(shinsei_CHARGE_ID__income01_INCOME_MONEY="","",shinsei_CHARGE_ID__income01_INCOME_MONEY)</f>
      </c>
    </row>
    <row r="95" spans="2:9" ht="12.75" customHeight="1">
      <c r="B95" s="4" t="s">
        <v>2135</v>
      </c>
      <c r="F95" s="4" t="s">
        <v>3454</v>
      </c>
      <c r="G95" s="48"/>
      <c r="H95" s="4" t="s">
        <v>2136</v>
      </c>
      <c r="I95" s="16">
        <f>IF(shinsei_CHARGE_ID__income02_INCOME_MONEY="","",shinsei_CHARGE_ID__income02_INCOME_MONEY)</f>
      </c>
    </row>
    <row r="96" spans="2:9" ht="12.75" customHeight="1">
      <c r="B96" s="4" t="s">
        <v>2137</v>
      </c>
      <c r="F96" s="4" t="s">
        <v>3455</v>
      </c>
      <c r="G96" s="48"/>
      <c r="H96" s="4" t="s">
        <v>2138</v>
      </c>
      <c r="I96" s="16">
        <f>IF(shinsei_CHARGE_ID__income03_INCOME_MONEY="","",shinsei_CHARGE_ID__income03_INCOME_MONEY)</f>
      </c>
    </row>
    <row r="99" spans="1:10" s="15" customFormat="1" ht="15" customHeight="1">
      <c r="A99" s="59" t="s">
        <v>2932</v>
      </c>
      <c r="B99" s="59"/>
      <c r="C99" s="59"/>
      <c r="D99" s="59"/>
      <c r="E99" s="59"/>
      <c r="F99" s="59" t="s">
        <v>3409</v>
      </c>
      <c r="G99" s="20"/>
      <c r="I99" s="4"/>
      <c r="J99" s="50"/>
    </row>
    <row r="101" spans="2:10" s="11" customFormat="1" ht="15" customHeight="1">
      <c r="B101" s="13" t="s">
        <v>1383</v>
      </c>
      <c r="C101" s="13"/>
      <c r="D101" s="13"/>
      <c r="E101" s="13"/>
      <c r="G101" s="12"/>
      <c r="H101" s="12" t="s">
        <v>332</v>
      </c>
      <c r="I101" s="12"/>
      <c r="J101" s="12" t="s">
        <v>2833</v>
      </c>
    </row>
    <row r="102" spans="3:10" s="11" customFormat="1" ht="15" customHeight="1">
      <c r="C102" s="13" t="s">
        <v>2834</v>
      </c>
      <c r="D102" s="13"/>
      <c r="E102" s="13"/>
      <c r="G102" s="12"/>
      <c r="H102" s="12" t="s">
        <v>2835</v>
      </c>
      <c r="I102" s="12"/>
      <c r="J102" s="11" t="s">
        <v>2836</v>
      </c>
    </row>
    <row r="103" spans="3:10" s="11" customFormat="1" ht="15" customHeight="1">
      <c r="C103" s="13" t="s">
        <v>143</v>
      </c>
      <c r="D103" s="13"/>
      <c r="E103" s="13"/>
      <c r="G103" s="12"/>
      <c r="H103" s="12" t="s">
        <v>333</v>
      </c>
      <c r="I103" s="12"/>
      <c r="J103" s="11" t="s">
        <v>2836</v>
      </c>
    </row>
    <row r="104" spans="2:10" s="11" customFormat="1" ht="15" customHeight="1">
      <c r="B104" s="13" t="s">
        <v>999</v>
      </c>
      <c r="C104" s="13"/>
      <c r="D104" s="13"/>
      <c r="E104" s="13"/>
      <c r="F104" s="12" t="s">
        <v>3456</v>
      </c>
      <c r="G104" s="96"/>
      <c r="H104" s="11" t="s">
        <v>1000</v>
      </c>
      <c r="I104" s="97">
        <f>IF(charge_BASE_DATE="","",charge_BASE_DATE)</f>
      </c>
      <c r="J104" s="11" t="s">
        <v>336</v>
      </c>
    </row>
    <row r="105" spans="2:10" s="11" customFormat="1" ht="15" customHeight="1">
      <c r="B105" s="13" t="s">
        <v>2837</v>
      </c>
      <c r="C105" s="13"/>
      <c r="D105" s="13"/>
      <c r="E105" s="13"/>
      <c r="G105" s="12"/>
      <c r="H105" s="12" t="s">
        <v>334</v>
      </c>
      <c r="I105" s="12"/>
      <c r="J105" s="11" t="s">
        <v>2401</v>
      </c>
    </row>
    <row r="106" spans="2:10" s="11" customFormat="1" ht="15" customHeight="1">
      <c r="B106" s="13" t="s">
        <v>2838</v>
      </c>
      <c r="C106" s="13"/>
      <c r="D106" s="13"/>
      <c r="E106" s="13"/>
      <c r="G106" s="12"/>
      <c r="H106" s="12" t="s">
        <v>335</v>
      </c>
      <c r="I106" s="12"/>
      <c r="J106" s="11" t="s">
        <v>336</v>
      </c>
    </row>
    <row r="107" spans="2:9" s="11" customFormat="1" ht="15" customHeight="1">
      <c r="B107" s="13" t="s">
        <v>2839</v>
      </c>
      <c r="C107" s="13"/>
      <c r="D107" s="13"/>
      <c r="E107" s="13"/>
      <c r="F107" s="12"/>
      <c r="G107" s="12"/>
      <c r="H107" s="12"/>
      <c r="I107" s="12"/>
    </row>
    <row r="108" spans="2:10" s="11" customFormat="1" ht="15" customHeight="1">
      <c r="B108" s="13"/>
      <c r="C108" s="13" t="s">
        <v>2246</v>
      </c>
      <c r="D108" s="13"/>
      <c r="E108" s="13"/>
      <c r="G108" s="12"/>
      <c r="H108" s="12" t="s">
        <v>337</v>
      </c>
      <c r="I108" s="12"/>
      <c r="J108" s="11" t="s">
        <v>2401</v>
      </c>
    </row>
    <row r="109" spans="2:10" s="11" customFormat="1" ht="15" customHeight="1">
      <c r="B109" s="13"/>
      <c r="C109" s="13" t="s">
        <v>2248</v>
      </c>
      <c r="D109" s="13"/>
      <c r="E109" s="13"/>
      <c r="G109" s="12"/>
      <c r="H109" s="12" t="s">
        <v>338</v>
      </c>
      <c r="I109" s="12"/>
      <c r="J109" s="11" t="s">
        <v>2401</v>
      </c>
    </row>
    <row r="110" spans="2:10" s="11" customFormat="1" ht="15" customHeight="1">
      <c r="B110" s="13"/>
      <c r="C110" s="13" t="s">
        <v>1002</v>
      </c>
      <c r="D110" s="13"/>
      <c r="E110" s="13"/>
      <c r="F110" s="12" t="s">
        <v>3457</v>
      </c>
      <c r="G110" s="8" t="s">
        <v>3409</v>
      </c>
      <c r="H110" s="12" t="s">
        <v>1003</v>
      </c>
      <c r="I110" s="18">
        <f>IF(charge_cust__caption="","",charge_cust__caption)</f>
      </c>
      <c r="J110" s="11" t="s">
        <v>2401</v>
      </c>
    </row>
    <row r="111" spans="2:10" s="11" customFormat="1" ht="15" customHeight="1">
      <c r="B111" s="13"/>
      <c r="C111" s="13" t="s">
        <v>957</v>
      </c>
      <c r="D111" s="13"/>
      <c r="E111" s="13"/>
      <c r="G111" s="4"/>
      <c r="H111" s="12" t="s">
        <v>339</v>
      </c>
      <c r="I111" s="12"/>
      <c r="J111" s="11" t="s">
        <v>2401</v>
      </c>
    </row>
    <row r="112" spans="2:10" s="11" customFormat="1" ht="15" customHeight="1">
      <c r="B112" s="13" t="s">
        <v>2840</v>
      </c>
      <c r="C112" s="13"/>
      <c r="D112" s="13"/>
      <c r="E112" s="13"/>
      <c r="G112" s="4"/>
      <c r="H112" s="12" t="s">
        <v>340</v>
      </c>
      <c r="I112" s="12"/>
      <c r="J112" s="11" t="s">
        <v>341</v>
      </c>
    </row>
    <row r="113" spans="2:10" s="11" customFormat="1" ht="15" customHeight="1">
      <c r="B113" s="13" t="s">
        <v>2841</v>
      </c>
      <c r="C113" s="13"/>
      <c r="D113" s="13"/>
      <c r="E113" s="13"/>
      <c r="G113" s="4"/>
      <c r="H113" s="12" t="s">
        <v>342</v>
      </c>
      <c r="I113" s="12"/>
      <c r="J113" s="11" t="s">
        <v>2836</v>
      </c>
    </row>
    <row r="114" spans="2:10" s="11" customFormat="1" ht="15" customHeight="1">
      <c r="B114" s="13" t="s">
        <v>1005</v>
      </c>
      <c r="C114" s="13"/>
      <c r="D114" s="13"/>
      <c r="E114" s="13"/>
      <c r="F114" s="12" t="s">
        <v>3458</v>
      </c>
      <c r="G114" s="48"/>
      <c r="H114" s="12" t="s">
        <v>1006</v>
      </c>
      <c r="I114" s="19">
        <f>IF(charge_RECEIPT_PRICE="","",charge_RECEIPT_PRICE)</f>
      </c>
      <c r="J114" s="11" t="s">
        <v>1007</v>
      </c>
    </row>
    <row r="115" spans="2:10" s="11" customFormat="1" ht="15" customHeight="1">
      <c r="B115" s="13" t="s">
        <v>2842</v>
      </c>
      <c r="C115" s="13"/>
      <c r="D115" s="13"/>
      <c r="E115" s="13"/>
      <c r="F115" s="12" t="s">
        <v>3459</v>
      </c>
      <c r="G115" s="7"/>
      <c r="H115" s="12" t="s">
        <v>344</v>
      </c>
      <c r="I115" s="54">
        <f>IF(charge_RECEIPT_TO="","",charge_RECEIPT_TO)</f>
      </c>
      <c r="J115" s="11" t="s">
        <v>2401</v>
      </c>
    </row>
    <row r="116" spans="2:9" s="11" customFormat="1" ht="15" customHeight="1">
      <c r="B116" s="13"/>
      <c r="C116" s="13"/>
      <c r="D116" s="13"/>
      <c r="E116" s="13"/>
      <c r="F116" s="12"/>
      <c r="G116" s="4"/>
      <c r="H116" s="12" t="s">
        <v>3120</v>
      </c>
      <c r="I116" s="56">
        <f>IF(charge_RECEIPT_TO="","",IF(ISERROR(SEARCH("様",charge_RECEIPT_TO)),charge_RECEIPT_TO&amp;" 様",LEFT(charge_RECEIPT_TO,LEN(charge_RECEIPT_TO)-1)&amp;" 様"))</f>
      </c>
    </row>
    <row r="117" spans="2:10" s="11" customFormat="1" ht="15" customHeight="1">
      <c r="B117" s="13" t="s">
        <v>1093</v>
      </c>
      <c r="C117" s="13"/>
      <c r="D117" s="13"/>
      <c r="E117" s="13"/>
      <c r="F117" s="12" t="s">
        <v>3460</v>
      </c>
      <c r="G117" s="295"/>
      <c r="H117" s="12" t="s">
        <v>345</v>
      </c>
      <c r="I117" s="296">
        <f>IF(charge_RECEIPT_DATE="","",charge_RECEIPT_DATE)</f>
      </c>
      <c r="J117" s="11" t="s">
        <v>336</v>
      </c>
    </row>
    <row r="118" spans="2:10" s="11" customFormat="1" ht="15" customHeight="1">
      <c r="B118" s="13" t="s">
        <v>2843</v>
      </c>
      <c r="C118" s="13"/>
      <c r="D118" s="13"/>
      <c r="E118" s="13"/>
      <c r="G118" s="12"/>
      <c r="H118" s="12" t="s">
        <v>346</v>
      </c>
      <c r="I118" s="12"/>
      <c r="J118" s="11" t="s">
        <v>1007</v>
      </c>
    </row>
    <row r="119" spans="2:10" s="11" customFormat="1" ht="15" customHeight="1">
      <c r="B119" s="13" t="s">
        <v>2844</v>
      </c>
      <c r="C119" s="13"/>
      <c r="D119" s="13"/>
      <c r="E119" s="13"/>
      <c r="G119" s="12"/>
      <c r="H119" s="12" t="s">
        <v>347</v>
      </c>
      <c r="I119" s="12"/>
      <c r="J119" s="11" t="s">
        <v>2401</v>
      </c>
    </row>
    <row r="120" spans="2:10" s="11" customFormat="1" ht="15" customHeight="1">
      <c r="B120" s="13" t="s">
        <v>2286</v>
      </c>
      <c r="C120" s="13"/>
      <c r="D120" s="13"/>
      <c r="E120" s="13"/>
      <c r="F120" s="12" t="s">
        <v>3461</v>
      </c>
      <c r="G120" s="17"/>
      <c r="H120" s="11" t="s">
        <v>348</v>
      </c>
      <c r="I120" s="54">
        <f>IF(charge_NOTE="","",charge_NOTE)</f>
      </c>
      <c r="J120" s="11" t="s">
        <v>2401</v>
      </c>
    </row>
    <row r="121" spans="1:10" s="11" customFormat="1" ht="15" customHeight="1">
      <c r="A121" s="12"/>
      <c r="B121" s="12" t="s">
        <v>2845</v>
      </c>
      <c r="C121" s="12"/>
      <c r="D121" s="12"/>
      <c r="E121" s="12"/>
      <c r="F121" s="12" t="s">
        <v>3462</v>
      </c>
      <c r="G121" s="17"/>
      <c r="H121" s="12" t="s">
        <v>349</v>
      </c>
      <c r="I121" s="18">
        <f>IF(charge_DETAIL_BIKO="","",charge_DETAIL_BIKO)</f>
      </c>
      <c r="J121" s="12"/>
    </row>
    <row r="122" spans="2:10" ht="15" customHeight="1">
      <c r="B122" s="4" t="s">
        <v>3121</v>
      </c>
      <c r="H122" s="12" t="s">
        <v>2846</v>
      </c>
      <c r="I122" s="20" t="str">
        <f>"但し、上記"&amp;shinsei_TARGET_KIND&amp;"の"&amp;cst_shinsei_INSPECTION_TYPE_class4&amp;"申請代として"</f>
        <v>但し、上記建築物の確認申請代として</v>
      </c>
      <c r="J122" s="61"/>
    </row>
    <row r="123" spans="8:10" ht="15" customHeight="1">
      <c r="H123" s="61"/>
      <c r="I123" s="61"/>
      <c r="J123" s="61"/>
    </row>
    <row r="124" spans="1:10" s="11" customFormat="1" ht="15" customHeight="1">
      <c r="A124" s="12"/>
      <c r="B124" s="12" t="s">
        <v>2567</v>
      </c>
      <c r="C124" s="12"/>
      <c r="D124" s="12"/>
      <c r="E124" s="12"/>
      <c r="F124" s="12"/>
      <c r="G124" s="297"/>
      <c r="I124" s="12"/>
      <c r="J124" s="12"/>
    </row>
    <row r="125" spans="1:10" s="11" customFormat="1" ht="15" customHeight="1">
      <c r="A125" s="12"/>
      <c r="B125" s="12" t="s">
        <v>2500</v>
      </c>
      <c r="C125" s="12"/>
      <c r="D125" s="12"/>
      <c r="E125" s="12"/>
      <c r="F125" s="12" t="s">
        <v>3463</v>
      </c>
      <c r="G125" s="92"/>
      <c r="H125" s="11" t="s">
        <v>350</v>
      </c>
      <c r="I125" s="298">
        <f>IF(charge_BASIC_CHARGE="",0,charge_BASIC_CHARGE)</f>
        <v>0</v>
      </c>
      <c r="J125" s="12"/>
    </row>
    <row r="126" spans="1:10" s="11" customFormat="1" ht="15" customHeight="1">
      <c r="A126" s="12"/>
      <c r="B126" s="12" t="s">
        <v>2568</v>
      </c>
      <c r="C126" s="12"/>
      <c r="D126" s="12"/>
      <c r="E126" s="12"/>
      <c r="F126" s="12" t="s">
        <v>3464</v>
      </c>
      <c r="G126" s="81"/>
      <c r="H126" s="12" t="s">
        <v>351</v>
      </c>
      <c r="I126" s="296">
        <f>IF(charge_STR_SIHARAI_DATE="","",charge_STR_SIHARAI_DATE)</f>
      </c>
      <c r="J126" s="12"/>
    </row>
    <row r="127" spans="1:10" s="11" customFormat="1" ht="15" customHeight="1">
      <c r="A127" s="12"/>
      <c r="B127" s="12" t="s">
        <v>2569</v>
      </c>
      <c r="C127" s="12"/>
      <c r="D127" s="12"/>
      <c r="E127" s="12"/>
      <c r="F127" s="12" t="s">
        <v>3465</v>
      </c>
      <c r="G127" s="92"/>
      <c r="H127" s="12" t="s">
        <v>352</v>
      </c>
      <c r="I127" s="299">
        <f>IF(charge_STR_CHARGE="",0,charge_STR_CHARGE)</f>
        <v>0</v>
      </c>
      <c r="J127" s="12"/>
    </row>
    <row r="128" spans="1:10" s="11" customFormat="1" ht="15" customHeight="1">
      <c r="A128" s="12"/>
      <c r="B128" s="12"/>
      <c r="C128" s="12"/>
      <c r="D128" s="12"/>
      <c r="E128" s="12"/>
      <c r="F128" s="12"/>
      <c r="G128" s="12"/>
      <c r="H128" s="12" t="s">
        <v>2576</v>
      </c>
      <c r="I128" s="299">
        <f>cst_charge_STR_CHARGE+cst_charge_STR_CHARGE_WARIMASHI</f>
        <v>0</v>
      </c>
      <c r="J128" s="12"/>
    </row>
    <row r="129" spans="1:10" s="11" customFormat="1" ht="15" customHeight="1">
      <c r="A129" s="12"/>
      <c r="B129" s="12" t="s">
        <v>2575</v>
      </c>
      <c r="C129" s="12"/>
      <c r="D129" s="12"/>
      <c r="E129" s="12"/>
      <c r="G129" s="12"/>
      <c r="H129" s="12" t="s">
        <v>353</v>
      </c>
      <c r="I129" s="300">
        <f>cst_charge_TIIKIWARIMASHI_CHARGE+cst_charge_STR_CHARGE_WARIMASHI+cst_charge_ZOUGEN_nomi_CHARGE__total</f>
        <v>0</v>
      </c>
      <c r="J129" s="63"/>
    </row>
    <row r="130" spans="1:10" s="11" customFormat="1" ht="15" customHeight="1">
      <c r="A130" s="12"/>
      <c r="B130" s="12" t="s">
        <v>2570</v>
      </c>
      <c r="C130" s="12"/>
      <c r="D130" s="12"/>
      <c r="E130" s="12"/>
      <c r="F130" s="12"/>
      <c r="G130" s="297"/>
      <c r="H130" s="12" t="s">
        <v>354</v>
      </c>
      <c r="I130" s="300">
        <f>cst_charge_meisai01_SYOUKEI+cst_charge_meisai02_SYOUKEI+cst_charge_meisai03_SYOUKEI+cst_charge_meisai04_SYOUKEI+cst_charge_meisai05_SYOUKEI+cst_charge_meisai06_SYOUKEI+cst_charge_meisai07_SYOUKEI+cst_charge_meisai08_SYOUKEI+cst_charge_meisai09_SYOUKEI+cst_charge_meisai10_SYOUKEI+cst_charge_meisai11_SYOUKEI</f>
        <v>0</v>
      </c>
      <c r="J130" s="12"/>
    </row>
    <row r="131" spans="1:10" s="11" customFormat="1" ht="15" customHeight="1">
      <c r="A131" s="12"/>
      <c r="B131" s="12"/>
      <c r="C131" s="12"/>
      <c r="D131" s="12"/>
      <c r="E131" s="12"/>
      <c r="F131" s="12"/>
      <c r="G131" s="297"/>
      <c r="I131" s="12"/>
      <c r="J131" s="12"/>
    </row>
    <row r="132" spans="1:10" s="11" customFormat="1" ht="15" customHeight="1">
      <c r="A132" s="12"/>
      <c r="B132" s="12" t="s">
        <v>3117</v>
      </c>
      <c r="C132" s="12"/>
      <c r="D132" s="12"/>
      <c r="E132" s="12"/>
      <c r="F132" s="12" t="s">
        <v>3466</v>
      </c>
      <c r="G132" s="92"/>
      <c r="H132" s="12" t="s">
        <v>355</v>
      </c>
      <c r="I132" s="19">
        <f>IF(charge_STR_CHARGE_WARIMASHI="",0,charge_STR_CHARGE_WARIMASHI)</f>
        <v>0</v>
      </c>
      <c r="J132" s="12"/>
    </row>
    <row r="133" spans="1:10" s="11" customFormat="1" ht="15" customHeight="1">
      <c r="A133" s="12"/>
      <c r="B133" s="12" t="s">
        <v>2503</v>
      </c>
      <c r="C133" s="12"/>
      <c r="D133" s="12"/>
      <c r="E133" s="12"/>
      <c r="G133" s="12"/>
      <c r="H133" s="12"/>
      <c r="I133" s="12"/>
      <c r="J133" s="12"/>
    </row>
    <row r="134" spans="1:10" s="11" customFormat="1" ht="15" customHeight="1">
      <c r="A134" s="12"/>
      <c r="B134" s="12"/>
      <c r="C134" s="12" t="s">
        <v>2504</v>
      </c>
      <c r="D134" s="12"/>
      <c r="E134" s="12"/>
      <c r="G134" s="92"/>
      <c r="H134" s="12" t="s">
        <v>356</v>
      </c>
      <c r="I134" s="12"/>
      <c r="J134" s="12"/>
    </row>
    <row r="135" spans="1:10" s="11" customFormat="1" ht="15" customHeight="1">
      <c r="A135" s="12"/>
      <c r="B135" s="12"/>
      <c r="C135" s="12" t="s">
        <v>2505</v>
      </c>
      <c r="D135" s="12"/>
      <c r="E135" s="12"/>
      <c r="G135" s="92"/>
      <c r="H135" s="12" t="s">
        <v>357</v>
      </c>
      <c r="I135" s="12"/>
      <c r="J135" s="12"/>
    </row>
    <row r="136" spans="1:10" s="11" customFormat="1" ht="15" customHeight="1">
      <c r="A136" s="12"/>
      <c r="B136" s="12"/>
      <c r="C136" s="12" t="s">
        <v>1007</v>
      </c>
      <c r="D136" s="12"/>
      <c r="E136" s="12"/>
      <c r="F136" s="12" t="s">
        <v>3467</v>
      </c>
      <c r="G136" s="92"/>
      <c r="H136" s="11" t="s">
        <v>358</v>
      </c>
      <c r="I136" s="54">
        <f>IF(charge_TIIKIWARIMASHI_CHARGE="",0,charge_TIIKIWARIMASHI_CHARGE)</f>
        <v>0</v>
      </c>
      <c r="J136" s="12"/>
    </row>
    <row r="137" spans="1:10" s="11" customFormat="1" ht="15" customHeight="1">
      <c r="A137" s="12"/>
      <c r="B137" s="12" t="s">
        <v>2506</v>
      </c>
      <c r="C137" s="12"/>
      <c r="D137" s="12"/>
      <c r="E137" s="12"/>
      <c r="G137" s="12"/>
      <c r="H137" s="12"/>
      <c r="I137" s="12"/>
      <c r="J137" s="12"/>
    </row>
    <row r="138" spans="1:10" s="11" customFormat="1" ht="15" customHeight="1">
      <c r="A138" s="12"/>
      <c r="C138" s="12" t="s">
        <v>2043</v>
      </c>
      <c r="D138" s="12"/>
      <c r="E138" s="12"/>
      <c r="F138" s="12" t="s">
        <v>3468</v>
      </c>
      <c r="G138" s="14" t="s">
        <v>3409</v>
      </c>
      <c r="I138" s="12"/>
      <c r="J138" s="11" t="s">
        <v>2401</v>
      </c>
    </row>
    <row r="139" spans="1:10" s="11" customFormat="1" ht="15" customHeight="1">
      <c r="A139" s="12"/>
      <c r="C139" s="12" t="s">
        <v>2504</v>
      </c>
      <c r="D139" s="12"/>
      <c r="E139" s="12"/>
      <c r="G139" s="92"/>
      <c r="H139" s="12" t="s">
        <v>359</v>
      </c>
      <c r="I139" s="297"/>
      <c r="J139" s="12" t="s">
        <v>2508</v>
      </c>
    </row>
    <row r="140" spans="1:10" s="11" customFormat="1" ht="15" customHeight="1">
      <c r="A140" s="12"/>
      <c r="C140" s="12" t="s">
        <v>2505</v>
      </c>
      <c r="D140" s="12"/>
      <c r="E140" s="12"/>
      <c r="G140" s="92"/>
      <c r="H140" s="12" t="s">
        <v>360</v>
      </c>
      <c r="I140" s="297"/>
      <c r="J140" s="12" t="s">
        <v>2508</v>
      </c>
    </row>
    <row r="141" spans="1:10" s="11" customFormat="1" ht="15" customHeight="1">
      <c r="A141" s="12"/>
      <c r="C141" s="12" t="s">
        <v>2509</v>
      </c>
      <c r="D141" s="12"/>
      <c r="E141" s="12"/>
      <c r="F141" s="12" t="s">
        <v>3469</v>
      </c>
      <c r="G141" s="92"/>
      <c r="H141" s="11" t="s">
        <v>361</v>
      </c>
      <c r="I141" s="54">
        <f>IF(charge_meisai01_SYOUKEI="",0,charge_meisai01_SYOUKEI)</f>
        <v>0</v>
      </c>
      <c r="J141" s="11" t="s">
        <v>2401</v>
      </c>
    </row>
    <row r="142" spans="1:10" s="11" customFormat="1" ht="15" customHeight="1">
      <c r="A142" s="12"/>
      <c r="B142" s="12" t="s">
        <v>2510</v>
      </c>
      <c r="C142" s="12"/>
      <c r="D142" s="12"/>
      <c r="E142" s="12"/>
      <c r="G142" s="12"/>
      <c r="H142" s="12"/>
      <c r="I142" s="12"/>
      <c r="J142" s="12"/>
    </row>
    <row r="143" spans="1:10" s="11" customFormat="1" ht="15" customHeight="1">
      <c r="A143" s="12"/>
      <c r="C143" s="12" t="s">
        <v>2043</v>
      </c>
      <c r="D143" s="12"/>
      <c r="E143" s="12"/>
      <c r="F143" s="12" t="s">
        <v>3470</v>
      </c>
      <c r="G143" s="14" t="s">
        <v>3409</v>
      </c>
      <c r="I143" s="12"/>
      <c r="J143" s="11" t="s">
        <v>2401</v>
      </c>
    </row>
    <row r="144" spans="1:10" s="11" customFormat="1" ht="15" customHeight="1">
      <c r="A144" s="12"/>
      <c r="C144" s="12" t="s">
        <v>2504</v>
      </c>
      <c r="D144" s="12"/>
      <c r="E144" s="12"/>
      <c r="G144" s="92"/>
      <c r="H144" s="12" t="s">
        <v>362</v>
      </c>
      <c r="I144" s="297"/>
      <c r="J144" s="12" t="s">
        <v>2508</v>
      </c>
    </row>
    <row r="145" spans="1:10" s="11" customFormat="1" ht="15" customHeight="1">
      <c r="A145" s="12"/>
      <c r="C145" s="12" t="s">
        <v>2505</v>
      </c>
      <c r="D145" s="12"/>
      <c r="E145" s="12"/>
      <c r="G145" s="92"/>
      <c r="H145" s="12" t="s">
        <v>363</v>
      </c>
      <c r="I145" s="297"/>
      <c r="J145" s="12" t="s">
        <v>2508</v>
      </c>
    </row>
    <row r="146" spans="1:10" s="11" customFormat="1" ht="15" customHeight="1">
      <c r="A146" s="12"/>
      <c r="C146" s="12" t="s">
        <v>2509</v>
      </c>
      <c r="D146" s="12"/>
      <c r="E146" s="12"/>
      <c r="F146" s="12" t="s">
        <v>3471</v>
      </c>
      <c r="G146" s="92"/>
      <c r="H146" s="11" t="s">
        <v>364</v>
      </c>
      <c r="I146" s="54">
        <f>IF(charge_meisai02_SYOUKEI="",0,charge_meisai02_SYOUKEI)</f>
        <v>0</v>
      </c>
      <c r="J146" s="11" t="s">
        <v>2401</v>
      </c>
    </row>
    <row r="147" spans="1:10" s="11" customFormat="1" ht="15" customHeight="1">
      <c r="A147" s="12"/>
      <c r="B147" s="12" t="s">
        <v>2516</v>
      </c>
      <c r="C147" s="12"/>
      <c r="D147" s="12"/>
      <c r="E147" s="12"/>
      <c r="G147" s="12"/>
      <c r="H147" s="12"/>
      <c r="I147" s="12"/>
      <c r="J147" s="12"/>
    </row>
    <row r="148" spans="1:10" s="11" customFormat="1" ht="15" customHeight="1">
      <c r="A148" s="12"/>
      <c r="C148" s="12" t="s">
        <v>2043</v>
      </c>
      <c r="D148" s="12"/>
      <c r="E148" s="12"/>
      <c r="F148" s="12" t="s">
        <v>3472</v>
      </c>
      <c r="G148" s="14" t="s">
        <v>3409</v>
      </c>
      <c r="I148" s="12"/>
      <c r="J148" s="11" t="s">
        <v>2401</v>
      </c>
    </row>
    <row r="149" spans="1:10" s="11" customFormat="1" ht="15" customHeight="1">
      <c r="A149" s="12"/>
      <c r="C149" s="12" t="s">
        <v>2504</v>
      </c>
      <c r="D149" s="12"/>
      <c r="E149" s="12"/>
      <c r="G149" s="92"/>
      <c r="H149" s="12" t="s">
        <v>365</v>
      </c>
      <c r="I149" s="297"/>
      <c r="J149" s="12" t="s">
        <v>2508</v>
      </c>
    </row>
    <row r="150" spans="1:10" s="11" customFormat="1" ht="15" customHeight="1">
      <c r="A150" s="12"/>
      <c r="C150" s="12" t="s">
        <v>2505</v>
      </c>
      <c r="D150" s="12"/>
      <c r="E150" s="12"/>
      <c r="G150" s="92"/>
      <c r="H150" s="12" t="s">
        <v>366</v>
      </c>
      <c r="I150" s="297"/>
      <c r="J150" s="12" t="s">
        <v>2508</v>
      </c>
    </row>
    <row r="151" spans="1:10" s="11" customFormat="1" ht="15" customHeight="1">
      <c r="A151" s="12"/>
      <c r="C151" s="12" t="s">
        <v>2509</v>
      </c>
      <c r="D151" s="12"/>
      <c r="E151" s="12"/>
      <c r="F151" s="12" t="s">
        <v>3473</v>
      </c>
      <c r="G151" s="92"/>
      <c r="H151" s="11" t="s">
        <v>367</v>
      </c>
      <c r="I151" s="54">
        <f>IF(charge_meisai03_SYOUKEI="",0,charge_meisai03_SYOUKEI)</f>
        <v>0</v>
      </c>
      <c r="J151" s="11" t="s">
        <v>2401</v>
      </c>
    </row>
    <row r="152" spans="1:10" s="11" customFormat="1" ht="15" customHeight="1">
      <c r="A152" s="12"/>
      <c r="B152" s="12" t="s">
        <v>2522</v>
      </c>
      <c r="C152" s="12"/>
      <c r="D152" s="12"/>
      <c r="E152" s="12"/>
      <c r="G152" s="12"/>
      <c r="H152" s="12"/>
      <c r="I152" s="12"/>
      <c r="J152" s="12"/>
    </row>
    <row r="153" spans="1:10" s="11" customFormat="1" ht="15" customHeight="1">
      <c r="A153" s="12"/>
      <c r="C153" s="12" t="s">
        <v>2043</v>
      </c>
      <c r="D153" s="12"/>
      <c r="E153" s="12"/>
      <c r="F153" s="12" t="s">
        <v>3474</v>
      </c>
      <c r="G153" s="14" t="s">
        <v>3409</v>
      </c>
      <c r="I153" s="12"/>
      <c r="J153" s="11" t="s">
        <v>2401</v>
      </c>
    </row>
    <row r="154" spans="1:10" s="11" customFormat="1" ht="15" customHeight="1">
      <c r="A154" s="12"/>
      <c r="C154" s="12" t="s">
        <v>2504</v>
      </c>
      <c r="D154" s="12"/>
      <c r="E154" s="12"/>
      <c r="G154" s="92"/>
      <c r="H154" s="12" t="s">
        <v>368</v>
      </c>
      <c r="I154" s="297"/>
      <c r="J154" s="12" t="s">
        <v>2508</v>
      </c>
    </row>
    <row r="155" spans="1:10" s="11" customFormat="1" ht="15" customHeight="1">
      <c r="A155" s="12"/>
      <c r="C155" s="12" t="s">
        <v>2505</v>
      </c>
      <c r="D155" s="12"/>
      <c r="E155" s="12"/>
      <c r="G155" s="92"/>
      <c r="H155" s="12" t="s">
        <v>369</v>
      </c>
      <c r="I155" s="297"/>
      <c r="J155" s="12" t="s">
        <v>2508</v>
      </c>
    </row>
    <row r="156" spans="1:10" s="11" customFormat="1" ht="15" customHeight="1">
      <c r="A156" s="12"/>
      <c r="C156" s="12" t="s">
        <v>2509</v>
      </c>
      <c r="D156" s="12"/>
      <c r="E156" s="12"/>
      <c r="F156" s="12" t="s">
        <v>3475</v>
      </c>
      <c r="G156" s="92"/>
      <c r="H156" s="11" t="s">
        <v>370</v>
      </c>
      <c r="I156" s="54">
        <f>IF(charge_meisai04_SYOUKEI="",0,charge_meisai04_SYOUKEI)</f>
        <v>0</v>
      </c>
      <c r="J156" s="11" t="s">
        <v>2401</v>
      </c>
    </row>
    <row r="157" spans="1:10" s="11" customFormat="1" ht="15" customHeight="1">
      <c r="A157" s="12"/>
      <c r="B157" s="12" t="s">
        <v>2528</v>
      </c>
      <c r="C157" s="12"/>
      <c r="D157" s="12"/>
      <c r="E157" s="12"/>
      <c r="G157" s="12"/>
      <c r="H157" s="12"/>
      <c r="I157" s="12"/>
      <c r="J157" s="12"/>
    </row>
    <row r="158" spans="1:10" s="11" customFormat="1" ht="15" customHeight="1">
      <c r="A158" s="12"/>
      <c r="C158" s="12" t="s">
        <v>2043</v>
      </c>
      <c r="D158" s="12"/>
      <c r="E158" s="12"/>
      <c r="F158" s="12" t="s">
        <v>3476</v>
      </c>
      <c r="G158" s="14" t="s">
        <v>3409</v>
      </c>
      <c r="I158" s="12"/>
      <c r="J158" s="11" t="s">
        <v>2401</v>
      </c>
    </row>
    <row r="159" spans="1:10" s="11" customFormat="1" ht="15" customHeight="1">
      <c r="A159" s="12"/>
      <c r="C159" s="12" t="s">
        <v>2504</v>
      </c>
      <c r="D159" s="12"/>
      <c r="E159" s="12"/>
      <c r="G159" s="92"/>
      <c r="H159" s="12" t="s">
        <v>371</v>
      </c>
      <c r="I159" s="297"/>
      <c r="J159" s="12" t="s">
        <v>2508</v>
      </c>
    </row>
    <row r="160" spans="1:10" s="11" customFormat="1" ht="15" customHeight="1">
      <c r="A160" s="12"/>
      <c r="C160" s="12" t="s">
        <v>2505</v>
      </c>
      <c r="D160" s="12"/>
      <c r="E160" s="12"/>
      <c r="G160" s="92"/>
      <c r="H160" s="12" t="s">
        <v>372</v>
      </c>
      <c r="I160" s="297"/>
      <c r="J160" s="12" t="s">
        <v>2508</v>
      </c>
    </row>
    <row r="161" spans="1:10" s="11" customFormat="1" ht="15" customHeight="1">
      <c r="A161" s="12"/>
      <c r="C161" s="12" t="s">
        <v>2509</v>
      </c>
      <c r="D161" s="12"/>
      <c r="E161" s="12"/>
      <c r="F161" s="12" t="s">
        <v>3477</v>
      </c>
      <c r="G161" s="92"/>
      <c r="H161" s="11" t="s">
        <v>373</v>
      </c>
      <c r="I161" s="54">
        <f>IF(charge_meisai05_SYOUKEI="",0,charge_meisai05_SYOUKEI)</f>
        <v>0</v>
      </c>
      <c r="J161" s="11" t="s">
        <v>2401</v>
      </c>
    </row>
    <row r="162" spans="1:10" s="11" customFormat="1" ht="15" customHeight="1">
      <c r="A162" s="12"/>
      <c r="B162" s="12" t="s">
        <v>1298</v>
      </c>
      <c r="C162" s="12"/>
      <c r="D162" s="12"/>
      <c r="E162" s="12"/>
      <c r="G162" s="12"/>
      <c r="H162" s="12"/>
      <c r="I162" s="12"/>
      <c r="J162" s="12"/>
    </row>
    <row r="163" spans="1:10" s="11" customFormat="1" ht="15" customHeight="1">
      <c r="A163" s="12"/>
      <c r="C163" s="12" t="s">
        <v>2043</v>
      </c>
      <c r="D163" s="12"/>
      <c r="E163" s="12"/>
      <c r="F163" s="12" t="s">
        <v>3478</v>
      </c>
      <c r="G163" s="14" t="s">
        <v>3409</v>
      </c>
      <c r="I163" s="12"/>
      <c r="J163" s="11" t="s">
        <v>2401</v>
      </c>
    </row>
    <row r="164" spans="1:10" s="11" customFormat="1" ht="15" customHeight="1">
      <c r="A164" s="12"/>
      <c r="C164" s="12" t="s">
        <v>2504</v>
      </c>
      <c r="D164" s="12"/>
      <c r="E164" s="12"/>
      <c r="G164" s="92"/>
      <c r="H164" s="12" t="s">
        <v>374</v>
      </c>
      <c r="I164" s="297"/>
      <c r="J164" s="12" t="s">
        <v>2508</v>
      </c>
    </row>
    <row r="165" spans="1:10" s="11" customFormat="1" ht="15" customHeight="1">
      <c r="A165" s="12"/>
      <c r="C165" s="12" t="s">
        <v>2505</v>
      </c>
      <c r="D165" s="12"/>
      <c r="E165" s="12"/>
      <c r="G165" s="92"/>
      <c r="H165" s="12" t="s">
        <v>375</v>
      </c>
      <c r="I165" s="297"/>
      <c r="J165" s="12" t="s">
        <v>2508</v>
      </c>
    </row>
    <row r="166" spans="1:10" s="11" customFormat="1" ht="15" customHeight="1">
      <c r="A166" s="12"/>
      <c r="C166" s="12" t="s">
        <v>2509</v>
      </c>
      <c r="D166" s="12"/>
      <c r="E166" s="12"/>
      <c r="F166" s="12" t="s">
        <v>3479</v>
      </c>
      <c r="G166" s="92"/>
      <c r="H166" s="11" t="s">
        <v>376</v>
      </c>
      <c r="I166" s="54">
        <f>IF(charge_meisai06_SYOUKEI="",0,charge_meisai06_SYOUKEI)</f>
        <v>0</v>
      </c>
      <c r="J166" s="11" t="s">
        <v>2401</v>
      </c>
    </row>
    <row r="167" spans="1:10" s="11" customFormat="1" ht="15" customHeight="1">
      <c r="A167" s="12"/>
      <c r="B167" s="12" t="s">
        <v>1299</v>
      </c>
      <c r="C167" s="12"/>
      <c r="D167" s="12"/>
      <c r="E167" s="12"/>
      <c r="G167" s="12"/>
      <c r="H167" s="12"/>
      <c r="I167" s="12"/>
      <c r="J167" s="12"/>
    </row>
    <row r="168" spans="1:10" s="11" customFormat="1" ht="15" customHeight="1">
      <c r="A168" s="12"/>
      <c r="C168" s="12" t="s">
        <v>2043</v>
      </c>
      <c r="D168" s="12"/>
      <c r="E168" s="12"/>
      <c r="F168" s="12" t="s">
        <v>3480</v>
      </c>
      <c r="G168" s="14" t="s">
        <v>3409</v>
      </c>
      <c r="I168" s="12"/>
      <c r="J168" s="11" t="s">
        <v>2401</v>
      </c>
    </row>
    <row r="169" spans="1:10" s="11" customFormat="1" ht="15" customHeight="1">
      <c r="A169" s="12"/>
      <c r="C169" s="12" t="s">
        <v>2504</v>
      </c>
      <c r="D169" s="12"/>
      <c r="E169" s="12"/>
      <c r="G169" s="92"/>
      <c r="H169" s="12" t="s">
        <v>2340</v>
      </c>
      <c r="I169" s="297"/>
      <c r="J169" s="12" t="s">
        <v>2508</v>
      </c>
    </row>
    <row r="170" spans="1:10" s="11" customFormat="1" ht="15" customHeight="1">
      <c r="A170" s="12"/>
      <c r="C170" s="12" t="s">
        <v>2505</v>
      </c>
      <c r="D170" s="12"/>
      <c r="E170" s="12"/>
      <c r="G170" s="92"/>
      <c r="H170" s="12" t="s">
        <v>2341</v>
      </c>
      <c r="I170" s="297"/>
      <c r="J170" s="12" t="s">
        <v>2508</v>
      </c>
    </row>
    <row r="171" spans="1:10" s="11" customFormat="1" ht="15" customHeight="1">
      <c r="A171" s="12"/>
      <c r="C171" s="12" t="s">
        <v>2509</v>
      </c>
      <c r="D171" s="12"/>
      <c r="E171" s="12"/>
      <c r="F171" s="12" t="s">
        <v>3481</v>
      </c>
      <c r="G171" s="92"/>
      <c r="H171" s="11" t="s">
        <v>2342</v>
      </c>
      <c r="I171" s="54">
        <f>IF(charge_meisai07_SYOUKEI="",0,charge_meisai07_SYOUKEI)</f>
        <v>0</v>
      </c>
      <c r="J171" s="11" t="s">
        <v>2401</v>
      </c>
    </row>
    <row r="172" spans="1:10" s="11" customFormat="1" ht="15" customHeight="1">
      <c r="A172" s="12"/>
      <c r="B172" s="12" t="s">
        <v>1301</v>
      </c>
      <c r="C172" s="12"/>
      <c r="D172" s="12"/>
      <c r="E172" s="12"/>
      <c r="G172" s="12"/>
      <c r="H172" s="12"/>
      <c r="I172" s="12"/>
      <c r="J172" s="12"/>
    </row>
    <row r="173" spans="1:10" s="11" customFormat="1" ht="15" customHeight="1">
      <c r="A173" s="12"/>
      <c r="C173" s="12" t="s">
        <v>2043</v>
      </c>
      <c r="D173" s="12"/>
      <c r="E173" s="12"/>
      <c r="F173" s="12" t="s">
        <v>3482</v>
      </c>
      <c r="G173" s="14" t="s">
        <v>3409</v>
      </c>
      <c r="I173" s="12"/>
      <c r="J173" s="11" t="s">
        <v>2401</v>
      </c>
    </row>
    <row r="174" spans="1:10" s="11" customFormat="1" ht="15" customHeight="1">
      <c r="A174" s="12"/>
      <c r="C174" s="12" t="s">
        <v>2504</v>
      </c>
      <c r="D174" s="12"/>
      <c r="E174" s="12"/>
      <c r="G174" s="92"/>
      <c r="H174" s="12" t="s">
        <v>2343</v>
      </c>
      <c r="I174" s="297"/>
      <c r="J174" s="12" t="s">
        <v>2508</v>
      </c>
    </row>
    <row r="175" spans="1:10" s="11" customFormat="1" ht="15" customHeight="1">
      <c r="A175" s="12"/>
      <c r="C175" s="12" t="s">
        <v>2505</v>
      </c>
      <c r="D175" s="12"/>
      <c r="E175" s="12"/>
      <c r="G175" s="92"/>
      <c r="H175" s="12" t="s">
        <v>2344</v>
      </c>
      <c r="I175" s="297"/>
      <c r="J175" s="12" t="s">
        <v>2508</v>
      </c>
    </row>
    <row r="176" spans="1:10" s="11" customFormat="1" ht="15" customHeight="1">
      <c r="A176" s="12"/>
      <c r="C176" s="12" t="s">
        <v>2509</v>
      </c>
      <c r="D176" s="12"/>
      <c r="E176" s="12"/>
      <c r="F176" s="12" t="s">
        <v>3483</v>
      </c>
      <c r="G176" s="92"/>
      <c r="H176" s="11" t="s">
        <v>2345</v>
      </c>
      <c r="I176" s="54">
        <f>IF(charge_meisai08_SYOUKEI="",0,charge_meisai08_SYOUKEI)</f>
        <v>0</v>
      </c>
      <c r="J176" s="11" t="s">
        <v>2401</v>
      </c>
    </row>
    <row r="177" spans="1:10" s="11" customFormat="1" ht="15" customHeight="1">
      <c r="A177" s="12"/>
      <c r="B177" s="12" t="s">
        <v>3123</v>
      </c>
      <c r="C177" s="12"/>
      <c r="D177" s="12"/>
      <c r="E177" s="12"/>
      <c r="G177" s="12"/>
      <c r="H177" s="12"/>
      <c r="I177" s="12"/>
      <c r="J177" s="12"/>
    </row>
    <row r="178" spans="1:10" s="11" customFormat="1" ht="15" customHeight="1">
      <c r="A178" s="12"/>
      <c r="C178" s="12" t="s">
        <v>2043</v>
      </c>
      <c r="D178" s="12"/>
      <c r="E178" s="12"/>
      <c r="F178" s="12" t="s">
        <v>3484</v>
      </c>
      <c r="G178" s="14" t="s">
        <v>3409</v>
      </c>
      <c r="I178" s="12"/>
      <c r="J178" s="11" t="s">
        <v>2401</v>
      </c>
    </row>
    <row r="179" spans="1:10" s="11" customFormat="1" ht="15" customHeight="1">
      <c r="A179" s="12"/>
      <c r="C179" s="12" t="s">
        <v>2504</v>
      </c>
      <c r="D179" s="12"/>
      <c r="E179" s="12"/>
      <c r="G179" s="92"/>
      <c r="H179" s="12" t="s">
        <v>2346</v>
      </c>
      <c r="I179" s="297"/>
      <c r="J179" s="12" t="s">
        <v>2508</v>
      </c>
    </row>
    <row r="180" spans="1:10" s="11" customFormat="1" ht="15" customHeight="1">
      <c r="A180" s="12"/>
      <c r="C180" s="12" t="s">
        <v>2505</v>
      </c>
      <c r="D180" s="12"/>
      <c r="E180" s="12"/>
      <c r="G180" s="92"/>
      <c r="H180" s="12" t="s">
        <v>2347</v>
      </c>
      <c r="I180" s="297"/>
      <c r="J180" s="12" t="s">
        <v>2508</v>
      </c>
    </row>
    <row r="181" spans="1:10" s="11" customFormat="1" ht="15" customHeight="1">
      <c r="A181" s="12"/>
      <c r="C181" s="12" t="s">
        <v>2509</v>
      </c>
      <c r="D181" s="12"/>
      <c r="E181" s="12"/>
      <c r="F181" s="12" t="s">
        <v>3485</v>
      </c>
      <c r="G181" s="92"/>
      <c r="H181" s="11" t="s">
        <v>2348</v>
      </c>
      <c r="I181" s="54">
        <f>IF(charge_meisai09_SYOUKEI="",0,charge_meisai09_SYOUKEI)</f>
        <v>0</v>
      </c>
      <c r="J181" s="11" t="s">
        <v>2401</v>
      </c>
    </row>
    <row r="182" spans="1:10" s="11" customFormat="1" ht="15" customHeight="1">
      <c r="A182" s="12"/>
      <c r="B182" s="12" t="s">
        <v>3125</v>
      </c>
      <c r="C182" s="12"/>
      <c r="D182" s="12"/>
      <c r="E182" s="12"/>
      <c r="G182" s="12"/>
      <c r="H182" s="12"/>
      <c r="I182" s="12"/>
      <c r="J182" s="12"/>
    </row>
    <row r="183" spans="1:10" s="11" customFormat="1" ht="15" customHeight="1">
      <c r="A183" s="12"/>
      <c r="C183" s="12" t="s">
        <v>2043</v>
      </c>
      <c r="D183" s="12"/>
      <c r="E183" s="12"/>
      <c r="F183" s="12" t="s">
        <v>3486</v>
      </c>
      <c r="G183" s="14" t="s">
        <v>3409</v>
      </c>
      <c r="I183" s="12"/>
      <c r="J183" s="11" t="s">
        <v>2401</v>
      </c>
    </row>
    <row r="184" spans="1:10" s="11" customFormat="1" ht="15" customHeight="1">
      <c r="A184" s="12"/>
      <c r="C184" s="12" t="s">
        <v>2504</v>
      </c>
      <c r="D184" s="12"/>
      <c r="E184" s="12"/>
      <c r="G184" s="92"/>
      <c r="H184" s="12" t="s">
        <v>2349</v>
      </c>
      <c r="I184" s="297"/>
      <c r="J184" s="12" t="s">
        <v>2508</v>
      </c>
    </row>
    <row r="185" spans="1:10" s="11" customFormat="1" ht="15" customHeight="1">
      <c r="A185" s="12"/>
      <c r="C185" s="12" t="s">
        <v>2505</v>
      </c>
      <c r="D185" s="12"/>
      <c r="E185" s="12"/>
      <c r="G185" s="92"/>
      <c r="H185" s="12" t="s">
        <v>2350</v>
      </c>
      <c r="I185" s="297"/>
      <c r="J185" s="12" t="s">
        <v>2508</v>
      </c>
    </row>
    <row r="186" spans="1:10" s="11" customFormat="1" ht="15" customHeight="1">
      <c r="A186" s="12"/>
      <c r="C186" s="12" t="s">
        <v>2509</v>
      </c>
      <c r="D186" s="12"/>
      <c r="E186" s="12"/>
      <c r="F186" s="12" t="s">
        <v>3487</v>
      </c>
      <c r="G186" s="92"/>
      <c r="H186" s="11" t="s">
        <v>2351</v>
      </c>
      <c r="I186" s="54">
        <f>IF(charge_meisai10_SYOUKEI="",0,charge_meisai10_SYOUKEI)</f>
        <v>0</v>
      </c>
      <c r="J186" s="11" t="s">
        <v>2401</v>
      </c>
    </row>
    <row r="187" spans="1:10" s="11" customFormat="1" ht="15" customHeight="1">
      <c r="A187" s="12"/>
      <c r="B187" s="12" t="s">
        <v>3127</v>
      </c>
      <c r="C187" s="12"/>
      <c r="D187" s="12"/>
      <c r="E187" s="12"/>
      <c r="G187" s="12"/>
      <c r="H187" s="12"/>
      <c r="I187" s="12"/>
      <c r="J187" s="12"/>
    </row>
    <row r="188" spans="1:10" s="11" customFormat="1" ht="15" customHeight="1">
      <c r="A188" s="12"/>
      <c r="C188" s="12" t="s">
        <v>2043</v>
      </c>
      <c r="D188" s="12"/>
      <c r="E188" s="12"/>
      <c r="F188" s="12" t="s">
        <v>3488</v>
      </c>
      <c r="G188" s="14" t="s">
        <v>3409</v>
      </c>
      <c r="I188" s="12"/>
      <c r="J188" s="11" t="s">
        <v>2401</v>
      </c>
    </row>
    <row r="189" spans="1:10" s="11" customFormat="1" ht="15" customHeight="1">
      <c r="A189" s="12"/>
      <c r="C189" s="12" t="s">
        <v>2504</v>
      </c>
      <c r="D189" s="12"/>
      <c r="E189" s="12"/>
      <c r="G189" s="92"/>
      <c r="H189" s="12" t="s">
        <v>2352</v>
      </c>
      <c r="I189" s="297"/>
      <c r="J189" s="12" t="s">
        <v>2508</v>
      </c>
    </row>
    <row r="190" spans="1:10" s="11" customFormat="1" ht="15" customHeight="1">
      <c r="A190" s="12"/>
      <c r="C190" s="12" t="s">
        <v>2505</v>
      </c>
      <c r="D190" s="12"/>
      <c r="E190" s="12"/>
      <c r="G190" s="92"/>
      <c r="H190" s="12" t="s">
        <v>2353</v>
      </c>
      <c r="I190" s="297"/>
      <c r="J190" s="12" t="s">
        <v>2508</v>
      </c>
    </row>
    <row r="191" spans="1:10" s="11" customFormat="1" ht="15" customHeight="1">
      <c r="A191" s="12"/>
      <c r="C191" s="12" t="s">
        <v>2509</v>
      </c>
      <c r="D191" s="12"/>
      <c r="E191" s="12"/>
      <c r="F191" s="12" t="s">
        <v>3489</v>
      </c>
      <c r="G191" s="92"/>
      <c r="H191" s="11" t="s">
        <v>2354</v>
      </c>
      <c r="I191" s="54">
        <f>IF(charge_meisai11_SYOUKEI="",0,charge_meisai11_SYOUKEI)</f>
        <v>0</v>
      </c>
      <c r="J191" s="11" t="s">
        <v>2401</v>
      </c>
    </row>
    <row r="192" spans="1:10" s="11" customFormat="1" ht="15" customHeight="1">
      <c r="A192" s="12"/>
      <c r="B192" s="12"/>
      <c r="C192" s="12"/>
      <c r="D192" s="12"/>
      <c r="E192" s="12"/>
      <c r="F192" s="12"/>
      <c r="G192" s="12"/>
      <c r="H192" s="12"/>
      <c r="I192" s="12"/>
      <c r="J192" s="12"/>
    </row>
    <row r="193" spans="8:10" ht="15" customHeight="1">
      <c r="H193" s="61"/>
      <c r="I193" s="61"/>
      <c r="J193" s="61"/>
    </row>
    <row r="194" spans="1:10" ht="15" customHeight="1">
      <c r="A194" s="4" t="s">
        <v>343</v>
      </c>
      <c r="B194" s="4" t="s">
        <v>2127</v>
      </c>
      <c r="F194" s="4" t="s">
        <v>3490</v>
      </c>
      <c r="G194" s="7"/>
      <c r="H194" s="61" t="s">
        <v>2355</v>
      </c>
      <c r="I194" s="301">
        <f>IF(charge_income01_INCOME_DATE="","",charge_income01_INCOME_DATE)</f>
      </c>
      <c r="J194" s="61"/>
    </row>
    <row r="195" spans="1:10" ht="15" customHeight="1">
      <c r="A195" s="4" t="s">
        <v>343</v>
      </c>
      <c r="B195" s="4" t="s">
        <v>2129</v>
      </c>
      <c r="F195" s="4" t="s">
        <v>3491</v>
      </c>
      <c r="G195" s="7"/>
      <c r="H195" s="61" t="s">
        <v>2356</v>
      </c>
      <c r="I195" s="301">
        <f>IF(charge_income02_INCOME_DATE="","",charge_income02_INCOME_DATE)</f>
      </c>
      <c r="J195" s="61"/>
    </row>
    <row r="196" spans="1:10" ht="15" customHeight="1">
      <c r="A196" s="4" t="s">
        <v>343</v>
      </c>
      <c r="B196" s="4" t="s">
        <v>2131</v>
      </c>
      <c r="F196" s="4" t="s">
        <v>3492</v>
      </c>
      <c r="G196" s="7"/>
      <c r="H196" s="61" t="s">
        <v>2357</v>
      </c>
      <c r="I196" s="301">
        <f>IF(charge_income03_INCOME_DATE="","",charge_income03_INCOME_DATE)</f>
      </c>
      <c r="J196" s="61"/>
    </row>
    <row r="197" spans="1:10" ht="15" customHeight="1">
      <c r="A197" s="4" t="s">
        <v>343</v>
      </c>
      <c r="B197" s="4" t="s">
        <v>2133</v>
      </c>
      <c r="F197" s="4" t="s">
        <v>3493</v>
      </c>
      <c r="G197" s="7"/>
      <c r="H197" s="61" t="s">
        <v>943</v>
      </c>
      <c r="I197" s="302">
        <f>IF(charge_income01_INCOME_MONEY="","",charge_income01_INCOME_MONEY)</f>
      </c>
      <c r="J197" s="61"/>
    </row>
    <row r="198" spans="1:10" ht="15" customHeight="1">
      <c r="A198" s="4" t="s">
        <v>343</v>
      </c>
      <c r="B198" s="4" t="s">
        <v>2135</v>
      </c>
      <c r="F198" s="4" t="s">
        <v>3494</v>
      </c>
      <c r="G198" s="7"/>
      <c r="H198" s="61" t="s">
        <v>944</v>
      </c>
      <c r="I198" s="302">
        <f>IF(charge_income02_INCOME_MONEY="","",charge_income02_INCOME_MONEY)</f>
      </c>
      <c r="J198" s="61"/>
    </row>
    <row r="199" spans="1:10" ht="15" customHeight="1">
      <c r="A199" s="4" t="s">
        <v>343</v>
      </c>
      <c r="B199" s="4" t="s">
        <v>2137</v>
      </c>
      <c r="F199" s="4" t="s">
        <v>3495</v>
      </c>
      <c r="G199" s="7"/>
      <c r="H199" s="61" t="s">
        <v>945</v>
      </c>
      <c r="I199" s="302">
        <f>IF(charge_income03_INCOME_MONEY="","",charge_income03_INCOME_MONEY)</f>
      </c>
      <c r="J199" s="61"/>
    </row>
    <row r="200" spans="7:9" s="61" customFormat="1" ht="15" customHeight="1">
      <c r="G200" s="303"/>
      <c r="I200" s="303"/>
    </row>
    <row r="201" spans="1:10" s="61" customFormat="1" ht="15" customHeight="1">
      <c r="A201" s="61" t="s">
        <v>946</v>
      </c>
      <c r="B201" s="61" t="s">
        <v>2580</v>
      </c>
      <c r="G201" s="303"/>
      <c r="H201" s="61" t="s">
        <v>1735</v>
      </c>
      <c r="I201" s="301">
        <f>IF(cst__button_no=1,IF(cst_charge_income01_INCOME_DATE&lt;&gt;"",cst_charge_income01_INCOME_DATE,cst_charge_RECEIPT_DATE),IF(cst__button_no=2,cst_charge_income02_INCOME_DATE,IF(cst__button_no=3,cst_charge_income03_INCOME_DATE,"")))</f>
      </c>
      <c r="J201" s="61" t="s">
        <v>2581</v>
      </c>
    </row>
    <row r="202" spans="1:10" s="61" customFormat="1" ht="15" customHeight="1">
      <c r="A202" s="61" t="s">
        <v>1736</v>
      </c>
      <c r="B202" s="61" t="s">
        <v>2582</v>
      </c>
      <c r="G202" s="303"/>
      <c r="H202" s="61" t="s">
        <v>1737</v>
      </c>
      <c r="I202" s="302">
        <f>IF(cst__button_no=1,IF(cst_charge_income01_INCOME_MONEY&lt;&gt;"",cst_charge_income01_INCOME_MONEY,cst_charge_RECEIPT_PRICE),IF(cst__button_no=2,cst_charge_income02_INCOME_MONEY,IF(cst__button_no=3,cst_charge_income03_INCOME_MONEY,"")))</f>
      </c>
      <c r="J202" s="61" t="s">
        <v>2581</v>
      </c>
    </row>
    <row r="203" spans="7:9" s="61" customFormat="1" ht="15" customHeight="1">
      <c r="G203" s="303"/>
      <c r="I203" s="303"/>
    </row>
    <row r="204" spans="1:9" s="61" customFormat="1" ht="15" customHeight="1">
      <c r="A204" s="13" t="s">
        <v>2583</v>
      </c>
      <c r="G204" s="303"/>
      <c r="I204" s="303"/>
    </row>
    <row r="205" spans="2:9" s="61" customFormat="1" ht="15" customHeight="1">
      <c r="B205" s="12" t="s">
        <v>1005</v>
      </c>
      <c r="C205" s="12"/>
      <c r="D205" s="12"/>
      <c r="E205" s="12"/>
      <c r="F205" s="239" t="s">
        <v>3496</v>
      </c>
      <c r="G205" s="359"/>
      <c r="H205" s="239" t="s">
        <v>1738</v>
      </c>
      <c r="I205" s="304">
        <f>IF(charge_strtower01_CHARGE="",0,charge_strtower01_CHARGE)</f>
        <v>0</v>
      </c>
    </row>
    <row r="206" spans="2:9" s="61" customFormat="1" ht="15" customHeight="1">
      <c r="B206" s="236" t="s">
        <v>3297</v>
      </c>
      <c r="C206" s="236"/>
      <c r="D206" s="236"/>
      <c r="E206" s="236"/>
      <c r="F206" s="239" t="s">
        <v>3497</v>
      </c>
      <c r="G206" s="359"/>
      <c r="H206" s="61" t="s">
        <v>1739</v>
      </c>
      <c r="I206" s="304">
        <f>IF(charge_strtower01_CHARGE_WARIMASHI="",0,charge_strtower01_CHARGE_WARIMASHI)</f>
        <v>0</v>
      </c>
    </row>
    <row r="207" spans="2:9" s="61" customFormat="1" ht="15" customHeight="1">
      <c r="B207" s="236" t="s">
        <v>3298</v>
      </c>
      <c r="C207" s="236"/>
      <c r="D207" s="236"/>
      <c r="E207" s="236"/>
      <c r="F207" s="239" t="s">
        <v>3498</v>
      </c>
      <c r="G207" s="359"/>
      <c r="H207" s="61" t="s">
        <v>73</v>
      </c>
      <c r="I207" s="304">
        <f>IF(charge_strtower01_CHARGE_TOTAL="",0,charge_strtower01_CHARGE_TOTAL)</f>
        <v>0</v>
      </c>
    </row>
    <row r="208" spans="2:9" s="61" customFormat="1" ht="15" customHeight="1">
      <c r="B208" s="236" t="s">
        <v>3299</v>
      </c>
      <c r="C208" s="236"/>
      <c r="D208" s="236"/>
      <c r="E208" s="236"/>
      <c r="F208" s="239"/>
      <c r="G208" s="303"/>
      <c r="H208" s="61" t="s">
        <v>74</v>
      </c>
      <c r="I208" s="305">
        <f>IF(charge_strtower01_CHARGE="","",TEXT(charge_strtower01_CHARGE,"#,##0_ "))</f>
      </c>
    </row>
    <row r="209" spans="7:9" s="61" customFormat="1" ht="15" customHeight="1">
      <c r="G209" s="303"/>
      <c r="I209" s="303"/>
    </row>
    <row r="210" spans="1:9" s="61" customFormat="1" ht="15" customHeight="1">
      <c r="A210" s="13" t="s">
        <v>3300</v>
      </c>
      <c r="G210" s="303"/>
      <c r="I210" s="303"/>
    </row>
    <row r="211" spans="2:9" s="61" customFormat="1" ht="15" customHeight="1">
      <c r="B211" s="12" t="s">
        <v>1005</v>
      </c>
      <c r="C211" s="12"/>
      <c r="D211" s="12"/>
      <c r="E211" s="12"/>
      <c r="F211" s="239" t="s">
        <v>3499</v>
      </c>
      <c r="G211" s="359"/>
      <c r="H211" s="239" t="s">
        <v>75</v>
      </c>
      <c r="I211" s="304">
        <f>IF(charge_strtower02_CHARGE="",0,charge_strtower02_CHARGE)</f>
        <v>0</v>
      </c>
    </row>
    <row r="212" spans="2:9" s="61" customFormat="1" ht="15" customHeight="1">
      <c r="B212" s="236" t="s">
        <v>3297</v>
      </c>
      <c r="C212" s="236"/>
      <c r="D212" s="236"/>
      <c r="E212" s="236"/>
      <c r="F212" s="239" t="s">
        <v>3500</v>
      </c>
      <c r="G212" s="359"/>
      <c r="H212" s="61" t="s">
        <v>76</v>
      </c>
      <c r="I212" s="304">
        <f>IF(charge_strtower02_CHARGE_WARIMASHI="",0,charge_strtower02_CHARGE_WARIMASHI)</f>
        <v>0</v>
      </c>
    </row>
    <row r="213" spans="2:9" s="61" customFormat="1" ht="15" customHeight="1">
      <c r="B213" s="236" t="s">
        <v>3298</v>
      </c>
      <c r="C213" s="236"/>
      <c r="D213" s="236"/>
      <c r="E213" s="236"/>
      <c r="F213" s="239" t="s">
        <v>3501</v>
      </c>
      <c r="G213" s="359"/>
      <c r="H213" s="61" t="s">
        <v>77</v>
      </c>
      <c r="I213" s="304">
        <f>IF(charge_strtower02_CHARGE_TOTAL="",0,charge_strtower02_CHARGE_TOTAL)</f>
        <v>0</v>
      </c>
    </row>
    <row r="214" spans="2:9" s="61" customFormat="1" ht="15" customHeight="1">
      <c r="B214" s="236" t="s">
        <v>3299</v>
      </c>
      <c r="G214" s="303"/>
      <c r="H214" s="61" t="s">
        <v>78</v>
      </c>
      <c r="I214" s="305">
        <f>IF(charge_strtower02_CHARGE="","","+"&amp;TEXT(charge_strtower02_CHARGE,"#,##0_ "))</f>
      </c>
    </row>
    <row r="215" spans="7:9" s="61" customFormat="1" ht="15" customHeight="1">
      <c r="G215" s="303"/>
      <c r="I215" s="303"/>
    </row>
    <row r="216" spans="1:9" s="61" customFormat="1" ht="15" customHeight="1">
      <c r="A216" s="13" t="s">
        <v>3301</v>
      </c>
      <c r="G216" s="303"/>
      <c r="I216" s="303"/>
    </row>
    <row r="217" spans="2:9" s="61" customFormat="1" ht="15" customHeight="1">
      <c r="B217" s="12" t="s">
        <v>1005</v>
      </c>
      <c r="C217" s="12"/>
      <c r="D217" s="12"/>
      <c r="E217" s="12"/>
      <c r="F217" s="239" t="s">
        <v>3502</v>
      </c>
      <c r="G217" s="359"/>
      <c r="H217" s="239" t="s">
        <v>79</v>
      </c>
      <c r="I217" s="304">
        <f>IF(charge_strtower03_CHARGE="",0,charge_strtower03_CHARGE)</f>
        <v>0</v>
      </c>
    </row>
    <row r="218" spans="2:9" s="61" customFormat="1" ht="15" customHeight="1">
      <c r="B218" s="236" t="s">
        <v>3297</v>
      </c>
      <c r="C218" s="236"/>
      <c r="D218" s="236"/>
      <c r="E218" s="236"/>
      <c r="F218" s="239" t="s">
        <v>3503</v>
      </c>
      <c r="G218" s="359"/>
      <c r="H218" s="61" t="s">
        <v>80</v>
      </c>
      <c r="I218" s="304">
        <f>IF(charge_strtower03_CHARGE_WARIMASHI="",0,charge_strtower03_CHARGE_WARIMASHI)</f>
        <v>0</v>
      </c>
    </row>
    <row r="219" spans="2:9" s="61" customFormat="1" ht="15" customHeight="1">
      <c r="B219" s="236" t="s">
        <v>3298</v>
      </c>
      <c r="C219" s="236"/>
      <c r="D219" s="236"/>
      <c r="E219" s="236"/>
      <c r="F219" s="239" t="s">
        <v>3504</v>
      </c>
      <c r="G219" s="359"/>
      <c r="H219" s="61" t="s">
        <v>81</v>
      </c>
      <c r="I219" s="304">
        <f>IF(charge_strtower03_CHARGE_TOTAL="",0,charge_strtower03_CHARGE_TOTAL)</f>
        <v>0</v>
      </c>
    </row>
    <row r="220" spans="2:9" s="61" customFormat="1" ht="15" customHeight="1">
      <c r="B220" s="236" t="s">
        <v>3299</v>
      </c>
      <c r="G220" s="303"/>
      <c r="H220" s="61" t="s">
        <v>82</v>
      </c>
      <c r="I220" s="305">
        <f>IF(charge_strtower03_CHARGE="","","+"&amp;TEXT(charge_strtower03_CHARGE,"#,##0_ "))</f>
      </c>
    </row>
    <row r="221" spans="7:9" s="61" customFormat="1" ht="15" customHeight="1">
      <c r="G221" s="303"/>
      <c r="I221" s="303"/>
    </row>
    <row r="222" spans="1:9" s="61" customFormat="1" ht="15" customHeight="1">
      <c r="A222" s="13" t="s">
        <v>3302</v>
      </c>
      <c r="G222" s="303"/>
      <c r="I222" s="303"/>
    </row>
    <row r="223" spans="2:9" s="61" customFormat="1" ht="15" customHeight="1">
      <c r="B223" s="12" t="s">
        <v>1005</v>
      </c>
      <c r="C223" s="12"/>
      <c r="D223" s="12"/>
      <c r="E223" s="12"/>
      <c r="F223" s="239" t="s">
        <v>3505</v>
      </c>
      <c r="G223" s="359"/>
      <c r="H223" s="239" t="s">
        <v>749</v>
      </c>
      <c r="I223" s="304">
        <f>IF(charge_strtower04_CHARGE="",0,charge_strtower04_CHARGE)</f>
        <v>0</v>
      </c>
    </row>
    <row r="224" spans="2:9" s="61" customFormat="1" ht="15" customHeight="1">
      <c r="B224" s="236" t="s">
        <v>3297</v>
      </c>
      <c r="C224" s="236"/>
      <c r="D224" s="236"/>
      <c r="E224" s="236"/>
      <c r="F224" s="239" t="s">
        <v>3506</v>
      </c>
      <c r="G224" s="359"/>
      <c r="H224" s="61" t="s">
        <v>750</v>
      </c>
      <c r="I224" s="304">
        <f>IF(charge_strtower04_CHARGE_WARIMASHI="",0,charge_strtower04_CHARGE_WARIMASHI)</f>
        <v>0</v>
      </c>
    </row>
    <row r="225" spans="2:9" s="61" customFormat="1" ht="15" customHeight="1">
      <c r="B225" s="236" t="s">
        <v>3298</v>
      </c>
      <c r="C225" s="236"/>
      <c r="D225" s="236"/>
      <c r="E225" s="236"/>
      <c r="F225" s="239" t="s">
        <v>3507</v>
      </c>
      <c r="G225" s="359"/>
      <c r="H225" s="61" t="s">
        <v>751</v>
      </c>
      <c r="I225" s="304">
        <f>IF(charge_strtower04_CHARGE_TOTAL="",0,charge_strtower04_CHARGE_TOTAL)</f>
        <v>0</v>
      </c>
    </row>
    <row r="226" spans="2:9" s="61" customFormat="1" ht="15" customHeight="1">
      <c r="B226" s="236" t="s">
        <v>3299</v>
      </c>
      <c r="G226" s="303"/>
      <c r="H226" s="61" t="s">
        <v>752</v>
      </c>
      <c r="I226" s="305">
        <f>IF(charge_strtower04_CHARGE="","","+"&amp;TEXT(charge_strtower04_CHARGE,"#,##0_ "))</f>
      </c>
    </row>
    <row r="227" spans="7:9" s="61" customFormat="1" ht="15" customHeight="1">
      <c r="G227" s="303"/>
      <c r="I227" s="303"/>
    </row>
    <row r="228" spans="1:9" s="61" customFormat="1" ht="15" customHeight="1">
      <c r="A228" s="13" t="s">
        <v>1690</v>
      </c>
      <c r="G228" s="303"/>
      <c r="I228" s="303"/>
    </row>
    <row r="229" spans="2:9" s="61" customFormat="1" ht="15" customHeight="1">
      <c r="B229" s="12" t="s">
        <v>1005</v>
      </c>
      <c r="C229" s="12"/>
      <c r="D229" s="12"/>
      <c r="E229" s="12"/>
      <c r="F229" s="239" t="s">
        <v>3508</v>
      </c>
      <c r="G229" s="359"/>
      <c r="H229" s="239" t="s">
        <v>753</v>
      </c>
      <c r="I229" s="304">
        <f>IF(charge_strtower05_CHARGE="",0,charge_strtower05_CHARGE)</f>
        <v>0</v>
      </c>
    </row>
    <row r="230" spans="2:9" s="61" customFormat="1" ht="15" customHeight="1">
      <c r="B230" s="236" t="s">
        <v>3297</v>
      </c>
      <c r="C230" s="236"/>
      <c r="D230" s="236"/>
      <c r="E230" s="236"/>
      <c r="F230" s="239" t="s">
        <v>3509</v>
      </c>
      <c r="G230" s="359"/>
      <c r="H230" s="61" t="s">
        <v>754</v>
      </c>
      <c r="I230" s="304">
        <f>IF(charge_strtower05_CHARGE_WARIMASHI="",0,charge_strtower05_CHARGE_WARIMASHI)</f>
        <v>0</v>
      </c>
    </row>
    <row r="231" spans="2:9" s="61" customFormat="1" ht="15" customHeight="1">
      <c r="B231" s="236" t="s">
        <v>3298</v>
      </c>
      <c r="C231" s="236"/>
      <c r="D231" s="236"/>
      <c r="E231" s="236"/>
      <c r="F231" s="239" t="s">
        <v>3510</v>
      </c>
      <c r="G231" s="359"/>
      <c r="H231" s="61" t="s">
        <v>755</v>
      </c>
      <c r="I231" s="304">
        <f>IF(charge_strtower05_CHARGE_TOTAL="",0,charge_strtower05_CHARGE_TOTAL)</f>
        <v>0</v>
      </c>
    </row>
    <row r="232" spans="2:9" s="61" customFormat="1" ht="15" customHeight="1">
      <c r="B232" s="236" t="s">
        <v>3299</v>
      </c>
      <c r="G232" s="303"/>
      <c r="H232" s="61" t="s">
        <v>756</v>
      </c>
      <c r="I232" s="305">
        <f>IF(charge_strtower05_CHARGE="","",TEXT(charge_strtower05_CHARGE,"#,##0_ "))</f>
      </c>
    </row>
    <row r="233" spans="7:9" s="61" customFormat="1" ht="15" customHeight="1">
      <c r="G233" s="303"/>
      <c r="I233" s="303"/>
    </row>
    <row r="234" spans="1:9" s="61" customFormat="1" ht="15" customHeight="1">
      <c r="A234" s="13" t="s">
        <v>1691</v>
      </c>
      <c r="G234" s="303"/>
      <c r="I234" s="303"/>
    </row>
    <row r="235" spans="2:9" s="61" customFormat="1" ht="15" customHeight="1">
      <c r="B235" s="12" t="s">
        <v>1005</v>
      </c>
      <c r="C235" s="12"/>
      <c r="D235" s="12"/>
      <c r="E235" s="12"/>
      <c r="F235" s="239" t="s">
        <v>3511</v>
      </c>
      <c r="G235" s="359"/>
      <c r="H235" s="239" t="s">
        <v>1010</v>
      </c>
      <c r="I235" s="304">
        <f>IF(charge_strtower06_CHARGE="",0,charge_strtower06_CHARGE)</f>
        <v>0</v>
      </c>
    </row>
    <row r="236" spans="2:9" s="61" customFormat="1" ht="15" customHeight="1">
      <c r="B236" s="236" t="s">
        <v>3297</v>
      </c>
      <c r="C236" s="236"/>
      <c r="D236" s="236"/>
      <c r="E236" s="236"/>
      <c r="F236" s="239" t="s">
        <v>3512</v>
      </c>
      <c r="G236" s="359"/>
      <c r="H236" s="61" t="s">
        <v>1011</v>
      </c>
      <c r="I236" s="304">
        <f>IF(charge_strtower06_CHARGE_WARIMASHI="",0,charge_strtower06_CHARGE_WARIMASHI)</f>
        <v>0</v>
      </c>
    </row>
    <row r="237" spans="2:9" s="61" customFormat="1" ht="15" customHeight="1">
      <c r="B237" s="236" t="s">
        <v>3298</v>
      </c>
      <c r="C237" s="236"/>
      <c r="D237" s="236"/>
      <c r="E237" s="236"/>
      <c r="F237" s="239" t="s">
        <v>3513</v>
      </c>
      <c r="G237" s="359"/>
      <c r="H237" s="61" t="s">
        <v>1012</v>
      </c>
      <c r="I237" s="304">
        <f>IF(charge_strtower06_CHARGE_TOTAL="",0,charge_strtower06_CHARGE_TOTAL)</f>
        <v>0</v>
      </c>
    </row>
    <row r="238" spans="2:9" s="61" customFormat="1" ht="15" customHeight="1">
      <c r="B238" s="236" t="s">
        <v>3299</v>
      </c>
      <c r="G238" s="303"/>
      <c r="H238" s="61" t="s">
        <v>1013</v>
      </c>
      <c r="I238" s="305">
        <f>IF(charge_strtower06_CHARGE="","","+"&amp;TEXT(charge_strtower06_CHARGE,"#,##0_ "))</f>
      </c>
    </row>
    <row r="239" spans="7:9" s="61" customFormat="1" ht="15" customHeight="1">
      <c r="G239" s="303"/>
      <c r="I239" s="303"/>
    </row>
    <row r="240" spans="1:9" s="61" customFormat="1" ht="15" customHeight="1">
      <c r="A240" s="13" t="s">
        <v>1692</v>
      </c>
      <c r="G240" s="303"/>
      <c r="I240" s="303"/>
    </row>
    <row r="241" spans="2:9" s="61" customFormat="1" ht="15" customHeight="1">
      <c r="B241" s="12" t="s">
        <v>1005</v>
      </c>
      <c r="C241" s="12"/>
      <c r="D241" s="12"/>
      <c r="E241" s="12"/>
      <c r="F241" s="239" t="s">
        <v>3514</v>
      </c>
      <c r="G241" s="359"/>
      <c r="H241" s="239" t="s">
        <v>1014</v>
      </c>
      <c r="I241" s="304">
        <f>IF(charge_strtower07_CHARGE="",0,charge_strtower07_CHARGE)</f>
        <v>0</v>
      </c>
    </row>
    <row r="242" spans="2:9" s="61" customFormat="1" ht="15" customHeight="1">
      <c r="B242" s="236" t="s">
        <v>3297</v>
      </c>
      <c r="C242" s="236"/>
      <c r="D242" s="236"/>
      <c r="E242" s="236"/>
      <c r="F242" s="239" t="s">
        <v>3515</v>
      </c>
      <c r="G242" s="359"/>
      <c r="H242" s="61" t="s">
        <v>1015</v>
      </c>
      <c r="I242" s="304">
        <f>IF(charge_strtower07_CHARGE_WARIMASHI="",0,charge_strtower07_CHARGE_WARIMASHI)</f>
        <v>0</v>
      </c>
    </row>
    <row r="243" spans="2:9" s="61" customFormat="1" ht="15" customHeight="1">
      <c r="B243" s="236" t="s">
        <v>3298</v>
      </c>
      <c r="C243" s="236"/>
      <c r="D243" s="236"/>
      <c r="E243" s="236"/>
      <c r="F243" s="239" t="s">
        <v>3516</v>
      </c>
      <c r="G243" s="359"/>
      <c r="H243" s="61" t="s">
        <v>1016</v>
      </c>
      <c r="I243" s="304">
        <f>IF(charge_strtower07_CHARGE_TOTAL="",0,charge_strtower07_CHARGE_TOTAL)</f>
        <v>0</v>
      </c>
    </row>
    <row r="244" spans="2:9" s="61" customFormat="1" ht="15" customHeight="1">
      <c r="B244" s="236" t="s">
        <v>3299</v>
      </c>
      <c r="G244" s="303"/>
      <c r="H244" s="61" t="s">
        <v>1017</v>
      </c>
      <c r="I244" s="305">
        <f>IF(charge_strtower07_CHARGE="","","+"&amp;TEXT(charge_strtower07_CHARGE,"#,##0_ "))</f>
      </c>
    </row>
    <row r="245" spans="7:9" s="61" customFormat="1" ht="15" customHeight="1">
      <c r="G245" s="303"/>
      <c r="I245" s="303"/>
    </row>
    <row r="246" spans="1:9" s="61" customFormat="1" ht="15" customHeight="1">
      <c r="A246" s="13" t="s">
        <v>1693</v>
      </c>
      <c r="G246" s="303"/>
      <c r="I246" s="303"/>
    </row>
    <row r="247" spans="2:9" s="61" customFormat="1" ht="15" customHeight="1">
      <c r="B247" s="12" t="s">
        <v>1005</v>
      </c>
      <c r="C247" s="12"/>
      <c r="D247" s="12"/>
      <c r="E247" s="12"/>
      <c r="F247" s="239" t="s">
        <v>3517</v>
      </c>
      <c r="G247" s="359"/>
      <c r="H247" s="239" t="s">
        <v>1018</v>
      </c>
      <c r="I247" s="304">
        <f>IF(charge_strtower08_CHARGE="",0,charge_strtower08_CHARGE)</f>
        <v>0</v>
      </c>
    </row>
    <row r="248" spans="2:9" s="61" customFormat="1" ht="15" customHeight="1">
      <c r="B248" s="236" t="s">
        <v>3297</v>
      </c>
      <c r="C248" s="236"/>
      <c r="D248" s="236"/>
      <c r="E248" s="236"/>
      <c r="F248" s="239" t="s">
        <v>3518</v>
      </c>
      <c r="G248" s="359"/>
      <c r="H248" s="61" t="s">
        <v>1019</v>
      </c>
      <c r="I248" s="304">
        <f>IF(charge_strtower08_CHARGE_WARIMASHI="",0,charge_strtower08_CHARGE_WARIMASHI)</f>
        <v>0</v>
      </c>
    </row>
    <row r="249" spans="2:9" s="61" customFormat="1" ht="15" customHeight="1">
      <c r="B249" s="236" t="s">
        <v>3298</v>
      </c>
      <c r="C249" s="236"/>
      <c r="D249" s="236"/>
      <c r="E249" s="236"/>
      <c r="F249" s="239" t="s">
        <v>3519</v>
      </c>
      <c r="G249" s="359"/>
      <c r="H249" s="61" t="s">
        <v>1020</v>
      </c>
      <c r="I249" s="304">
        <f>IF(charge_strtower08_CHARGE_TOTAL="",0,charge_strtower08_CHARGE_TOTAL)</f>
        <v>0</v>
      </c>
    </row>
    <row r="250" spans="2:9" s="61" customFormat="1" ht="15" customHeight="1">
      <c r="B250" s="236" t="s">
        <v>3299</v>
      </c>
      <c r="G250" s="303"/>
      <c r="H250" s="61" t="s">
        <v>1021</v>
      </c>
      <c r="I250" s="305">
        <f>IF(charge_strtower08_CHARGE="","","+"&amp;TEXT(charge_strtower08_CHARGE,"#,##0_ "))</f>
      </c>
    </row>
    <row r="251" spans="7:9" s="61" customFormat="1" ht="15" customHeight="1">
      <c r="G251" s="303"/>
      <c r="I251" s="303"/>
    </row>
    <row r="252" spans="1:9" s="61" customFormat="1" ht="15" customHeight="1">
      <c r="A252" s="13" t="s">
        <v>1694</v>
      </c>
      <c r="G252" s="303"/>
      <c r="I252" s="303"/>
    </row>
    <row r="253" spans="2:9" s="61" customFormat="1" ht="15" customHeight="1">
      <c r="B253" s="12" t="s">
        <v>1005</v>
      </c>
      <c r="C253" s="12"/>
      <c r="D253" s="12"/>
      <c r="E253" s="12"/>
      <c r="F253" s="239" t="s">
        <v>3520</v>
      </c>
      <c r="G253" s="359"/>
      <c r="H253" s="239" t="s">
        <v>642</v>
      </c>
      <c r="I253" s="304">
        <f>IF(charge_strtower09_CHARGE="",0,charge_strtower09_CHARGE)</f>
        <v>0</v>
      </c>
    </row>
    <row r="254" spans="2:9" s="61" customFormat="1" ht="15" customHeight="1">
      <c r="B254" s="236" t="s">
        <v>3297</v>
      </c>
      <c r="C254" s="236"/>
      <c r="D254" s="236"/>
      <c r="E254" s="236"/>
      <c r="F254" s="239" t="s">
        <v>3521</v>
      </c>
      <c r="G254" s="359"/>
      <c r="H254" s="61" t="s">
        <v>643</v>
      </c>
      <c r="I254" s="304">
        <f>IF(charge_strtower09_CHARGE_WARIMASHI="",0,charge_strtower09_CHARGE_WARIMASHI)</f>
        <v>0</v>
      </c>
    </row>
    <row r="255" spans="2:9" s="61" customFormat="1" ht="15" customHeight="1">
      <c r="B255" s="236" t="s">
        <v>3298</v>
      </c>
      <c r="C255" s="236"/>
      <c r="D255" s="236"/>
      <c r="E255" s="236"/>
      <c r="F255" s="239" t="s">
        <v>3522</v>
      </c>
      <c r="G255" s="359"/>
      <c r="H255" s="61" t="s">
        <v>644</v>
      </c>
      <c r="I255" s="304">
        <f>IF(charge_strtower09_CHARGE_TOTAL="",0,charge_strtower09_CHARGE_TOTAL)</f>
        <v>0</v>
      </c>
    </row>
    <row r="256" spans="2:9" s="61" customFormat="1" ht="15" customHeight="1">
      <c r="B256" s="236" t="s">
        <v>3299</v>
      </c>
      <c r="G256" s="303"/>
      <c r="H256" s="61" t="s">
        <v>645</v>
      </c>
      <c r="I256" s="305">
        <f>IF(charge_strtower09_CHARGE="","",TEXT(charge_strtower09_CHARGE,"#,##0_ "))</f>
      </c>
    </row>
    <row r="257" spans="7:9" s="61" customFormat="1" ht="15" customHeight="1">
      <c r="G257" s="303"/>
      <c r="I257" s="303"/>
    </row>
    <row r="258" spans="1:9" s="61" customFormat="1" ht="15" customHeight="1">
      <c r="A258" s="13" t="s">
        <v>1695</v>
      </c>
      <c r="G258" s="303"/>
      <c r="I258" s="303"/>
    </row>
    <row r="259" spans="2:9" s="61" customFormat="1" ht="15" customHeight="1">
      <c r="B259" s="12" t="s">
        <v>1005</v>
      </c>
      <c r="C259" s="12"/>
      <c r="D259" s="12"/>
      <c r="E259" s="12"/>
      <c r="F259" s="239" t="s">
        <v>3523</v>
      </c>
      <c r="G259" s="359"/>
      <c r="H259" s="239" t="s">
        <v>646</v>
      </c>
      <c r="I259" s="304">
        <f>IF(charge_strtower10_CHARGE="",0,charge_strtower10_CHARGE)</f>
        <v>0</v>
      </c>
    </row>
    <row r="260" spans="2:9" s="61" customFormat="1" ht="15" customHeight="1">
      <c r="B260" s="236" t="s">
        <v>3297</v>
      </c>
      <c r="C260" s="236"/>
      <c r="D260" s="236"/>
      <c r="E260" s="236"/>
      <c r="F260" s="239" t="s">
        <v>3524</v>
      </c>
      <c r="G260" s="359"/>
      <c r="H260" s="61" t="s">
        <v>647</v>
      </c>
      <c r="I260" s="304">
        <f>IF(charge_strtower10_CHARGE_WARIMASHI="",0,charge_strtower10_CHARGE_WARIMASHI)</f>
        <v>0</v>
      </c>
    </row>
    <row r="261" spans="2:9" s="61" customFormat="1" ht="15" customHeight="1">
      <c r="B261" s="236" t="s">
        <v>3298</v>
      </c>
      <c r="C261" s="236"/>
      <c r="D261" s="236"/>
      <c r="E261" s="236"/>
      <c r="F261" s="239" t="s">
        <v>3525</v>
      </c>
      <c r="G261" s="359"/>
      <c r="H261" s="61" t="s">
        <v>648</v>
      </c>
      <c r="I261" s="304">
        <f>IF(charge_strtower10_CHARGE_TOTAL="",0,charge_strtower10_CHARGE_TOTAL)</f>
        <v>0</v>
      </c>
    </row>
    <row r="262" spans="2:9" s="61" customFormat="1" ht="15" customHeight="1">
      <c r="B262" s="236" t="s">
        <v>3299</v>
      </c>
      <c r="G262" s="303"/>
      <c r="H262" s="61" t="s">
        <v>649</v>
      </c>
      <c r="I262" s="305">
        <f>IF(charge_strtower10_CHARGE="","","+"&amp;TEXT(charge_strtower10_CHARGE,"#,##0_ "))</f>
      </c>
    </row>
    <row r="263" spans="7:9" s="61" customFormat="1" ht="15" customHeight="1">
      <c r="G263" s="303"/>
      <c r="I263" s="303"/>
    </row>
    <row r="264" spans="1:9" s="61" customFormat="1" ht="15" customHeight="1">
      <c r="A264" s="13" t="s">
        <v>1696</v>
      </c>
      <c r="G264" s="303"/>
      <c r="I264" s="303"/>
    </row>
    <row r="265" spans="2:9" s="61" customFormat="1" ht="15" customHeight="1">
      <c r="B265" s="12" t="s">
        <v>1005</v>
      </c>
      <c r="C265" s="12"/>
      <c r="D265" s="12"/>
      <c r="E265" s="12"/>
      <c r="F265" s="239" t="s">
        <v>3526</v>
      </c>
      <c r="G265" s="359"/>
      <c r="H265" s="239" t="s">
        <v>650</v>
      </c>
      <c r="I265" s="304">
        <f>IF(charge_strtower11_CHARGE="",0,charge_strtower11_CHARGE)</f>
        <v>0</v>
      </c>
    </row>
    <row r="266" spans="2:9" s="61" customFormat="1" ht="15" customHeight="1">
      <c r="B266" s="236" t="s">
        <v>3297</v>
      </c>
      <c r="C266" s="236"/>
      <c r="D266" s="236"/>
      <c r="E266" s="236"/>
      <c r="F266" s="239" t="s">
        <v>3527</v>
      </c>
      <c r="G266" s="359"/>
      <c r="H266" s="61" t="s">
        <v>651</v>
      </c>
      <c r="I266" s="304">
        <f>IF(charge_strtower11_CHARGE_WARIMASHI="",0,charge_strtower11_CHARGE_WARIMASHI)</f>
        <v>0</v>
      </c>
    </row>
    <row r="267" spans="2:9" s="61" customFormat="1" ht="15" customHeight="1">
      <c r="B267" s="236" t="s">
        <v>3298</v>
      </c>
      <c r="C267" s="236"/>
      <c r="D267" s="236"/>
      <c r="E267" s="236"/>
      <c r="F267" s="239" t="s">
        <v>3528</v>
      </c>
      <c r="G267" s="359"/>
      <c r="H267" s="61" t="s">
        <v>0</v>
      </c>
      <c r="I267" s="304">
        <f>IF(charge_strtower11_CHARGE_TOTAL="",0,charge_strtower11_CHARGE_TOTAL)</f>
        <v>0</v>
      </c>
    </row>
    <row r="268" spans="2:9" s="61" customFormat="1" ht="15" customHeight="1">
      <c r="B268" s="236" t="s">
        <v>3299</v>
      </c>
      <c r="G268" s="303"/>
      <c r="H268" s="61" t="s">
        <v>1</v>
      </c>
      <c r="I268" s="305">
        <f>IF(charge_strtower11_CHARGE="","","+"&amp;TEXT(charge_strtower11_CHARGE,"#,##0_ "))</f>
      </c>
    </row>
    <row r="269" spans="7:9" s="61" customFormat="1" ht="15" customHeight="1">
      <c r="G269" s="303"/>
      <c r="I269" s="303"/>
    </row>
    <row r="270" spans="1:9" s="61" customFormat="1" ht="15" customHeight="1">
      <c r="A270" s="13" t="s">
        <v>1697</v>
      </c>
      <c r="G270" s="303"/>
      <c r="I270" s="303"/>
    </row>
    <row r="271" spans="2:9" s="61" customFormat="1" ht="15" customHeight="1">
      <c r="B271" s="12" t="s">
        <v>1005</v>
      </c>
      <c r="C271" s="12"/>
      <c r="D271" s="12"/>
      <c r="E271" s="12"/>
      <c r="F271" s="239" t="s">
        <v>3529</v>
      </c>
      <c r="G271" s="359"/>
      <c r="H271" s="239" t="s">
        <v>2</v>
      </c>
      <c r="I271" s="304">
        <f>IF(charge_strtower12_CHARGE="",0,charge_strtower12_CHARGE)</f>
        <v>0</v>
      </c>
    </row>
    <row r="272" spans="2:9" s="61" customFormat="1" ht="15" customHeight="1">
      <c r="B272" s="236" t="s">
        <v>3297</v>
      </c>
      <c r="C272" s="236"/>
      <c r="D272" s="236"/>
      <c r="E272" s="236"/>
      <c r="F272" s="239" t="s">
        <v>3530</v>
      </c>
      <c r="G272" s="359"/>
      <c r="H272" s="61" t="s">
        <v>3</v>
      </c>
      <c r="I272" s="304">
        <f>IF(charge_strtower12_CHARGE_WARIMASHI="",0,charge_strtower12_CHARGE_WARIMASHI)</f>
        <v>0</v>
      </c>
    </row>
    <row r="273" spans="2:9" s="61" customFormat="1" ht="15" customHeight="1">
      <c r="B273" s="236" t="s">
        <v>3298</v>
      </c>
      <c r="C273" s="236"/>
      <c r="D273" s="236"/>
      <c r="E273" s="236"/>
      <c r="F273" s="239" t="s">
        <v>3531</v>
      </c>
      <c r="G273" s="359"/>
      <c r="H273" s="61" t="s">
        <v>4</v>
      </c>
      <c r="I273" s="304">
        <f>IF(charge_strtower12_CHARGE_TOTAL="",0,charge_strtower12_CHARGE_TOTAL)</f>
        <v>0</v>
      </c>
    </row>
    <row r="274" spans="2:9" s="61" customFormat="1" ht="15" customHeight="1">
      <c r="B274" s="236" t="s">
        <v>3299</v>
      </c>
      <c r="G274" s="303"/>
      <c r="H274" s="61" t="s">
        <v>5</v>
      </c>
      <c r="I274" s="305">
        <f>IF(charge_strtower12_CHARGE="","","+"&amp;TEXT(charge_strtower12_CHARGE,"#,##0_ "))</f>
      </c>
    </row>
    <row r="275" spans="7:9" s="61" customFormat="1" ht="15" customHeight="1">
      <c r="G275" s="303"/>
      <c r="I275" s="303"/>
    </row>
    <row r="276" spans="1:9" s="61" customFormat="1" ht="15" customHeight="1">
      <c r="A276" s="13" t="s">
        <v>1698</v>
      </c>
      <c r="G276" s="303"/>
      <c r="I276" s="303"/>
    </row>
    <row r="277" spans="2:9" s="61" customFormat="1" ht="15" customHeight="1">
      <c r="B277" s="12" t="s">
        <v>1005</v>
      </c>
      <c r="C277" s="12"/>
      <c r="D277" s="12"/>
      <c r="E277" s="12"/>
      <c r="F277" s="239" t="s">
        <v>3532</v>
      </c>
      <c r="G277" s="359"/>
      <c r="H277" s="239" t="s">
        <v>6</v>
      </c>
      <c r="I277" s="304">
        <f>IF(charge_strtower13_CHARGE="",0,charge_strtower13_CHARGE)</f>
        <v>0</v>
      </c>
    </row>
    <row r="278" spans="2:9" s="61" customFormat="1" ht="15" customHeight="1">
      <c r="B278" s="236" t="s">
        <v>3297</v>
      </c>
      <c r="C278" s="236"/>
      <c r="D278" s="236"/>
      <c r="E278" s="236"/>
      <c r="F278" s="239" t="s">
        <v>3533</v>
      </c>
      <c r="G278" s="359"/>
      <c r="H278" s="61" t="s">
        <v>7</v>
      </c>
      <c r="I278" s="304">
        <f>IF(charge_strtower13_CHARGE_WARIMASHI="",0,charge_strtower13_CHARGE_WARIMASHI)</f>
        <v>0</v>
      </c>
    </row>
    <row r="279" spans="2:9" s="61" customFormat="1" ht="15" customHeight="1">
      <c r="B279" s="236" t="s">
        <v>3298</v>
      </c>
      <c r="C279" s="236"/>
      <c r="D279" s="236"/>
      <c r="E279" s="236"/>
      <c r="F279" s="239" t="s">
        <v>3534</v>
      </c>
      <c r="G279" s="359"/>
      <c r="H279" s="61" t="s">
        <v>8</v>
      </c>
      <c r="I279" s="304">
        <f>IF(charge_strtower13_CHARGE_TOTAL="",0,charge_strtower13_CHARGE_TOTAL)</f>
        <v>0</v>
      </c>
    </row>
    <row r="280" spans="2:9" s="61" customFormat="1" ht="15" customHeight="1">
      <c r="B280" s="236" t="s">
        <v>3299</v>
      </c>
      <c r="G280" s="303"/>
      <c r="H280" s="61" t="s">
        <v>9</v>
      </c>
      <c r="I280" s="305">
        <f>IF(charge_strtower13_CHARGE="","",TEXT(charge_strtower13_CHARGE,"#,##0_ "))</f>
      </c>
    </row>
    <row r="281" spans="2:9" s="61" customFormat="1" ht="15" customHeight="1">
      <c r="B281" s="236"/>
      <c r="C281" s="236"/>
      <c r="D281" s="236"/>
      <c r="E281" s="236"/>
      <c r="F281" s="360"/>
      <c r="G281" s="360"/>
      <c r="I281" s="303"/>
    </row>
    <row r="282" spans="1:9" s="61" customFormat="1" ht="15" customHeight="1">
      <c r="A282" s="13" t="s">
        <v>1699</v>
      </c>
      <c r="G282" s="303"/>
      <c r="I282" s="303"/>
    </row>
    <row r="283" spans="2:9" s="61" customFormat="1" ht="15" customHeight="1">
      <c r="B283" s="12" t="s">
        <v>1005</v>
      </c>
      <c r="C283" s="12"/>
      <c r="D283" s="12"/>
      <c r="E283" s="12"/>
      <c r="F283" s="239" t="s">
        <v>3535</v>
      </c>
      <c r="G283" s="359"/>
      <c r="H283" s="239" t="s">
        <v>10</v>
      </c>
      <c r="I283" s="304">
        <f>IF(charge_strtower14_CHARGE="",0,charge_strtower14_CHARGE)</f>
        <v>0</v>
      </c>
    </row>
    <row r="284" spans="2:9" s="61" customFormat="1" ht="15" customHeight="1">
      <c r="B284" s="236" t="s">
        <v>3297</v>
      </c>
      <c r="C284" s="236"/>
      <c r="D284" s="236"/>
      <c r="E284" s="236"/>
      <c r="F284" s="239" t="s">
        <v>3536</v>
      </c>
      <c r="G284" s="359"/>
      <c r="H284" s="61" t="s">
        <v>11</v>
      </c>
      <c r="I284" s="304">
        <f>IF(charge_strtower14_CHARGE_WARIMASHI="",0,charge_strtower14_CHARGE_WARIMASHI)</f>
        <v>0</v>
      </c>
    </row>
    <row r="285" spans="2:9" s="61" customFormat="1" ht="15" customHeight="1">
      <c r="B285" s="236" t="s">
        <v>3298</v>
      </c>
      <c r="C285" s="236"/>
      <c r="D285" s="236"/>
      <c r="E285" s="236"/>
      <c r="F285" s="239" t="s">
        <v>3537</v>
      </c>
      <c r="G285" s="359"/>
      <c r="H285" s="61" t="s">
        <v>12</v>
      </c>
      <c r="I285" s="304">
        <f>IF(charge_strtower14_CHARGE_TOTAL="",0,charge_strtower14_CHARGE_TOTAL)</f>
        <v>0</v>
      </c>
    </row>
    <row r="286" spans="2:9" s="61" customFormat="1" ht="15" customHeight="1">
      <c r="B286" s="236" t="s">
        <v>3299</v>
      </c>
      <c r="G286" s="303"/>
      <c r="H286" s="61" t="s">
        <v>13</v>
      </c>
      <c r="I286" s="305">
        <f>IF(charge_strtower14_CHARGE="","","+"&amp;TEXT(charge_strtower14_CHARGE,"#,##0_ "))</f>
      </c>
    </row>
    <row r="287" spans="2:9" s="61" customFormat="1" ht="15" customHeight="1">
      <c r="B287" s="236"/>
      <c r="C287" s="236"/>
      <c r="D287" s="236"/>
      <c r="E287" s="236"/>
      <c r="F287" s="360"/>
      <c r="G287" s="360"/>
      <c r="I287" s="303"/>
    </row>
    <row r="288" spans="1:9" s="61" customFormat="1" ht="15" customHeight="1">
      <c r="A288" s="13" t="s">
        <v>1700</v>
      </c>
      <c r="G288" s="303"/>
      <c r="I288" s="303"/>
    </row>
    <row r="289" spans="2:9" s="61" customFormat="1" ht="15" customHeight="1">
      <c r="B289" s="12" t="s">
        <v>1005</v>
      </c>
      <c r="C289" s="12"/>
      <c r="D289" s="12"/>
      <c r="E289" s="12"/>
      <c r="F289" s="239" t="s">
        <v>3538</v>
      </c>
      <c r="G289" s="359"/>
      <c r="H289" s="239" t="s">
        <v>1324</v>
      </c>
      <c r="I289" s="304">
        <f>IF(charge_strtower15_CHARGE="",0,charge_strtower15_CHARGE)</f>
        <v>0</v>
      </c>
    </row>
    <row r="290" spans="2:9" s="61" customFormat="1" ht="15" customHeight="1">
      <c r="B290" s="236" t="s">
        <v>3297</v>
      </c>
      <c r="C290" s="236"/>
      <c r="D290" s="236"/>
      <c r="E290" s="236"/>
      <c r="F290" s="239" t="s">
        <v>3539</v>
      </c>
      <c r="G290" s="359"/>
      <c r="H290" s="61" t="s">
        <v>1325</v>
      </c>
      <c r="I290" s="304">
        <f>IF(charge_strtower15_CHARGE_WARIMASHI="",0,charge_strtower15_CHARGE_WARIMASHI)</f>
        <v>0</v>
      </c>
    </row>
    <row r="291" spans="2:9" s="61" customFormat="1" ht="15" customHeight="1">
      <c r="B291" s="236" t="s">
        <v>3298</v>
      </c>
      <c r="C291" s="236"/>
      <c r="D291" s="236"/>
      <c r="E291" s="236"/>
      <c r="F291" s="239" t="s">
        <v>3540</v>
      </c>
      <c r="G291" s="359"/>
      <c r="H291" s="61" t="s">
        <v>1326</v>
      </c>
      <c r="I291" s="304">
        <f>IF(charge_strtower15_CHARGE_TOTAL="",0,charge_strtower15_CHARGE_TOTAL)</f>
        <v>0</v>
      </c>
    </row>
    <row r="292" spans="2:9" s="61" customFormat="1" ht="15" customHeight="1">
      <c r="B292" s="236" t="s">
        <v>3299</v>
      </c>
      <c r="G292" s="303"/>
      <c r="H292" s="61" t="s">
        <v>1327</v>
      </c>
      <c r="I292" s="305">
        <f>IF(charge_strtower15_CHARGE="","","+"&amp;TEXT(charge_strtower15_CHARGE,"#,##0_ "))</f>
      </c>
    </row>
    <row r="293" spans="2:9" s="61" customFormat="1" ht="15" customHeight="1">
      <c r="B293" s="236"/>
      <c r="C293" s="236"/>
      <c r="D293" s="236"/>
      <c r="E293" s="236"/>
      <c r="F293" s="360"/>
      <c r="G293" s="360"/>
      <c r="I293" s="303"/>
    </row>
    <row r="294" spans="1:9" s="61" customFormat="1" ht="15" customHeight="1">
      <c r="A294" s="13" t="s">
        <v>1701</v>
      </c>
      <c r="G294" s="303"/>
      <c r="I294" s="303"/>
    </row>
    <row r="295" spans="2:9" s="61" customFormat="1" ht="15" customHeight="1">
      <c r="B295" s="12" t="s">
        <v>1005</v>
      </c>
      <c r="C295" s="12"/>
      <c r="D295" s="12"/>
      <c r="E295" s="12"/>
      <c r="F295" s="239" t="s">
        <v>3541</v>
      </c>
      <c r="G295" s="359"/>
      <c r="H295" s="239" t="s">
        <v>1328</v>
      </c>
      <c r="I295" s="304">
        <f>IF(charge_strtower16_CHARGE="",0,charge_strtower16_CHARGE)</f>
        <v>0</v>
      </c>
    </row>
    <row r="296" spans="2:9" s="61" customFormat="1" ht="15" customHeight="1">
      <c r="B296" s="236" t="s">
        <v>3297</v>
      </c>
      <c r="C296" s="236"/>
      <c r="D296" s="236"/>
      <c r="E296" s="236"/>
      <c r="F296" s="239" t="s">
        <v>3542</v>
      </c>
      <c r="G296" s="359"/>
      <c r="H296" s="61" t="s">
        <v>1329</v>
      </c>
      <c r="I296" s="304">
        <f>IF(charge_strtower16_CHARGE_WARIMASHI="",0,charge_strtower16_CHARGE_WARIMASHI)</f>
        <v>0</v>
      </c>
    </row>
    <row r="297" spans="2:9" s="61" customFormat="1" ht="15" customHeight="1">
      <c r="B297" s="236" t="s">
        <v>3298</v>
      </c>
      <c r="C297" s="236"/>
      <c r="D297" s="236"/>
      <c r="E297" s="236"/>
      <c r="F297" s="239" t="s">
        <v>3543</v>
      </c>
      <c r="G297" s="359"/>
      <c r="H297" s="61" t="s">
        <v>1330</v>
      </c>
      <c r="I297" s="304">
        <f>IF(charge_strtower16_CHARGE_TOTAL="",0,charge_strtower16_CHARGE_TOTAL)</f>
        <v>0</v>
      </c>
    </row>
    <row r="298" spans="2:9" s="61" customFormat="1" ht="15" customHeight="1">
      <c r="B298" s="236" t="s">
        <v>3299</v>
      </c>
      <c r="G298" s="303"/>
      <c r="H298" s="61" t="s">
        <v>1331</v>
      </c>
      <c r="I298" s="305">
        <f>IF(charge_strtower16_CHARGE="","","+"&amp;TEXT(charge_strtower16_CHARGE,"#,##0_ "))</f>
      </c>
    </row>
    <row r="299" spans="2:9" s="61" customFormat="1" ht="15" customHeight="1">
      <c r="B299" s="236"/>
      <c r="C299" s="236"/>
      <c r="D299" s="236"/>
      <c r="E299" s="236"/>
      <c r="F299" s="360"/>
      <c r="G299" s="360"/>
      <c r="I299" s="303"/>
    </row>
    <row r="300" spans="1:9" s="61" customFormat="1" ht="15" customHeight="1">
      <c r="A300" s="13" t="s">
        <v>2850</v>
      </c>
      <c r="G300" s="303"/>
      <c r="I300" s="303"/>
    </row>
    <row r="301" spans="2:9" s="61" customFormat="1" ht="15" customHeight="1">
      <c r="B301" s="12" t="s">
        <v>1005</v>
      </c>
      <c r="C301" s="12"/>
      <c r="D301" s="12"/>
      <c r="E301" s="12"/>
      <c r="F301" s="239" t="s">
        <v>3544</v>
      </c>
      <c r="G301" s="359"/>
      <c r="H301" s="239" t="s">
        <v>1332</v>
      </c>
      <c r="I301" s="304">
        <f>IF(charge_strtower17_CHARGE="",0,charge_strtower17_CHARGE)</f>
        <v>0</v>
      </c>
    </row>
    <row r="302" spans="2:9" s="61" customFormat="1" ht="15" customHeight="1">
      <c r="B302" s="236" t="s">
        <v>3297</v>
      </c>
      <c r="C302" s="236"/>
      <c r="D302" s="236"/>
      <c r="E302" s="236"/>
      <c r="F302" s="239" t="s">
        <v>3545</v>
      </c>
      <c r="G302" s="359"/>
      <c r="H302" s="61" t="s">
        <v>1333</v>
      </c>
      <c r="I302" s="304">
        <f>IF(charge_strtower17_CHARGE_WARIMASHI="",0,charge_strtower17_CHARGE_WARIMASHI)</f>
        <v>0</v>
      </c>
    </row>
    <row r="303" spans="2:9" s="61" customFormat="1" ht="15" customHeight="1">
      <c r="B303" s="236" t="s">
        <v>3298</v>
      </c>
      <c r="C303" s="236"/>
      <c r="D303" s="236"/>
      <c r="E303" s="236"/>
      <c r="F303" s="239" t="s">
        <v>3546</v>
      </c>
      <c r="G303" s="359"/>
      <c r="H303" s="61" t="s">
        <v>1334</v>
      </c>
      <c r="I303" s="304">
        <f>IF(charge_strtower17_CHARGE_TOTAL="",0,charge_strtower17_CHARGE_TOTAL)</f>
        <v>0</v>
      </c>
    </row>
    <row r="304" spans="2:9" s="61" customFormat="1" ht="15" customHeight="1">
      <c r="B304" s="236" t="s">
        <v>3299</v>
      </c>
      <c r="G304" s="303"/>
      <c r="H304" s="61" t="s">
        <v>1335</v>
      </c>
      <c r="I304" s="305">
        <f>IF(charge_strtower17_CHARGE="","",TEXT(charge_strtower17_CHARGE,"#,##0_ "))</f>
      </c>
    </row>
    <row r="305" spans="2:9" s="61" customFormat="1" ht="15" customHeight="1">
      <c r="B305" s="236"/>
      <c r="C305" s="236"/>
      <c r="D305" s="236"/>
      <c r="E305" s="236"/>
      <c r="F305" s="360"/>
      <c r="G305" s="360"/>
      <c r="I305" s="303"/>
    </row>
    <row r="306" spans="1:9" s="61" customFormat="1" ht="15" customHeight="1">
      <c r="A306" s="13" t="s">
        <v>2851</v>
      </c>
      <c r="G306" s="303"/>
      <c r="I306" s="303"/>
    </row>
    <row r="307" spans="2:9" s="61" customFormat="1" ht="15" customHeight="1">
      <c r="B307" s="12" t="s">
        <v>1005</v>
      </c>
      <c r="C307" s="12"/>
      <c r="D307" s="12"/>
      <c r="E307" s="12"/>
      <c r="F307" s="239" t="s">
        <v>3547</v>
      </c>
      <c r="G307" s="359"/>
      <c r="H307" s="239" t="s">
        <v>1336</v>
      </c>
      <c r="I307" s="304">
        <f>IF(charge_strtower18_CHARGE="",0,charge_strtower18_CHARGE)</f>
        <v>0</v>
      </c>
    </row>
    <row r="308" spans="2:9" s="61" customFormat="1" ht="15" customHeight="1">
      <c r="B308" s="236" t="s">
        <v>3297</v>
      </c>
      <c r="C308" s="236"/>
      <c r="D308" s="236"/>
      <c r="E308" s="236"/>
      <c r="F308" s="239" t="s">
        <v>3548</v>
      </c>
      <c r="G308" s="359"/>
      <c r="H308" s="61" t="s">
        <v>3303</v>
      </c>
      <c r="I308" s="304">
        <f>IF(charge_strtower18_CHARGE_WARIMASHI="",0,charge_strtower18_CHARGE_WARIMASHI)</f>
        <v>0</v>
      </c>
    </row>
    <row r="309" spans="2:9" s="61" customFormat="1" ht="15" customHeight="1">
      <c r="B309" s="236" t="s">
        <v>3298</v>
      </c>
      <c r="C309" s="236"/>
      <c r="D309" s="236"/>
      <c r="E309" s="236"/>
      <c r="F309" s="239" t="s">
        <v>3549</v>
      </c>
      <c r="G309" s="359"/>
      <c r="H309" s="61" t="s">
        <v>3304</v>
      </c>
      <c r="I309" s="304">
        <f>IF(charge_strtower18_CHARGE_TOTAL="",0,charge_strtower18_CHARGE_TOTAL)</f>
        <v>0</v>
      </c>
    </row>
    <row r="310" spans="2:9" s="61" customFormat="1" ht="15" customHeight="1">
      <c r="B310" s="236" t="s">
        <v>3299</v>
      </c>
      <c r="G310" s="303"/>
      <c r="H310" s="61" t="s">
        <v>3305</v>
      </c>
      <c r="I310" s="305">
        <f>IF(charge_strtower18_CHARGE="","","+"&amp;TEXT(charge_strtower18_CHARGE,"#,##0_ "))</f>
      </c>
    </row>
    <row r="311" spans="2:9" s="61" customFormat="1" ht="15" customHeight="1">
      <c r="B311" s="236"/>
      <c r="C311" s="236"/>
      <c r="D311" s="236"/>
      <c r="E311" s="236"/>
      <c r="F311" s="360"/>
      <c r="G311" s="360"/>
      <c r="I311" s="303"/>
    </row>
    <row r="312" spans="1:9" s="61" customFormat="1" ht="15" customHeight="1">
      <c r="A312" s="13" t="s">
        <v>2852</v>
      </c>
      <c r="G312" s="303"/>
      <c r="I312" s="303"/>
    </row>
    <row r="313" spans="2:9" s="61" customFormat="1" ht="15" customHeight="1">
      <c r="B313" s="12" t="s">
        <v>1005</v>
      </c>
      <c r="C313" s="12"/>
      <c r="D313" s="12"/>
      <c r="E313" s="12"/>
      <c r="F313" s="239" t="s">
        <v>3550</v>
      </c>
      <c r="G313" s="359"/>
      <c r="H313" s="239" t="s">
        <v>3306</v>
      </c>
      <c r="I313" s="304">
        <f>IF(charge_strtower19_CHARGE="",0,charge_strtower19_CHARGE)</f>
        <v>0</v>
      </c>
    </row>
    <row r="314" spans="2:9" s="61" customFormat="1" ht="15" customHeight="1">
      <c r="B314" s="236" t="s">
        <v>3297</v>
      </c>
      <c r="C314" s="236"/>
      <c r="D314" s="236"/>
      <c r="E314" s="236"/>
      <c r="F314" s="239" t="s">
        <v>3551</v>
      </c>
      <c r="G314" s="359"/>
      <c r="H314" s="61" t="s">
        <v>3307</v>
      </c>
      <c r="I314" s="304">
        <f>IF(charge_strtower19_CHARGE_WARIMASHI="",0,charge_strtower19_CHARGE_WARIMASHI)</f>
        <v>0</v>
      </c>
    </row>
    <row r="315" spans="2:9" s="61" customFormat="1" ht="15" customHeight="1">
      <c r="B315" s="236" t="s">
        <v>3298</v>
      </c>
      <c r="C315" s="236"/>
      <c r="D315" s="236"/>
      <c r="E315" s="236"/>
      <c r="F315" s="239" t="s">
        <v>3552</v>
      </c>
      <c r="G315" s="359"/>
      <c r="H315" s="61" t="s">
        <v>3308</v>
      </c>
      <c r="I315" s="304">
        <f>IF(charge_strtower19_CHARGE_TOTAL="",0,charge_strtower19_CHARGE_TOTAL)</f>
        <v>0</v>
      </c>
    </row>
    <row r="316" spans="2:9" s="61" customFormat="1" ht="15" customHeight="1">
      <c r="B316" s="236" t="s">
        <v>3299</v>
      </c>
      <c r="G316" s="303"/>
      <c r="H316" s="61" t="s">
        <v>3309</v>
      </c>
      <c r="I316" s="305">
        <f>IF(charge_strtower19_CHARGE="","","+"&amp;TEXT(charge_strtower19_CHARGE,"#,##0_ "))</f>
      </c>
    </row>
    <row r="317" spans="2:9" s="61" customFormat="1" ht="15" customHeight="1">
      <c r="B317" s="236"/>
      <c r="C317" s="236"/>
      <c r="D317" s="236"/>
      <c r="E317" s="236"/>
      <c r="F317" s="360"/>
      <c r="G317" s="360"/>
      <c r="I317" s="303"/>
    </row>
    <row r="318" spans="1:9" s="61" customFormat="1" ht="15" customHeight="1">
      <c r="A318" s="13" t="s">
        <v>2853</v>
      </c>
      <c r="G318" s="303"/>
      <c r="I318" s="303"/>
    </row>
    <row r="319" spans="2:9" s="61" customFormat="1" ht="15" customHeight="1">
      <c r="B319" s="12" t="s">
        <v>1005</v>
      </c>
      <c r="C319" s="12"/>
      <c r="D319" s="12"/>
      <c r="E319" s="12"/>
      <c r="F319" s="239" t="s">
        <v>3553</v>
      </c>
      <c r="G319" s="359"/>
      <c r="H319" s="239" t="s">
        <v>3310</v>
      </c>
      <c r="I319" s="304">
        <f>IF(charge_strtower20_CHARGE="",0,charge_strtower20_CHARGE)</f>
        <v>0</v>
      </c>
    </row>
    <row r="320" spans="2:9" s="61" customFormat="1" ht="15" customHeight="1">
      <c r="B320" s="236" t="s">
        <v>3297</v>
      </c>
      <c r="C320" s="236"/>
      <c r="D320" s="236"/>
      <c r="E320" s="236"/>
      <c r="F320" s="239" t="s">
        <v>3554</v>
      </c>
      <c r="G320" s="359"/>
      <c r="H320" s="61" t="s">
        <v>3311</v>
      </c>
      <c r="I320" s="304">
        <f>IF(charge_strtower20_CHARGE_WARIMASHI="",0,charge_strtower20_CHARGE_WARIMASHI)</f>
        <v>0</v>
      </c>
    </row>
    <row r="321" spans="2:9" s="61" customFormat="1" ht="15" customHeight="1">
      <c r="B321" s="236" t="s">
        <v>3298</v>
      </c>
      <c r="C321" s="236"/>
      <c r="D321" s="236"/>
      <c r="E321" s="236"/>
      <c r="F321" s="239" t="s">
        <v>3555</v>
      </c>
      <c r="G321" s="359"/>
      <c r="H321" s="61" t="s">
        <v>2217</v>
      </c>
      <c r="I321" s="304">
        <f>IF(charge_strtower20_CHARGE_TOTAL="",0,charge_strtower20_CHARGE_TOTAL)</f>
        <v>0</v>
      </c>
    </row>
    <row r="322" spans="2:9" s="61" customFormat="1" ht="15" customHeight="1">
      <c r="B322" s="236" t="s">
        <v>3299</v>
      </c>
      <c r="G322" s="303"/>
      <c r="H322" s="61" t="s">
        <v>2218</v>
      </c>
      <c r="I322" s="305">
        <f>IF(charge_strtower20_CHARGE="","","+"&amp;TEXT(charge_strtower20_CHARGE,"#,##0_ "))</f>
      </c>
    </row>
    <row r="323" spans="2:9" s="61" customFormat="1" ht="15" customHeight="1">
      <c r="B323" s="236"/>
      <c r="C323" s="236"/>
      <c r="D323" s="236"/>
      <c r="E323" s="236"/>
      <c r="F323" s="360"/>
      <c r="G323" s="360"/>
      <c r="I323" s="303"/>
    </row>
    <row r="324" spans="1:9" s="61" customFormat="1" ht="15" customHeight="1">
      <c r="A324" s="13" t="s">
        <v>2854</v>
      </c>
      <c r="G324" s="303"/>
      <c r="I324" s="303"/>
    </row>
    <row r="325" spans="2:9" s="61" customFormat="1" ht="15" customHeight="1">
      <c r="B325" s="12" t="s">
        <v>1005</v>
      </c>
      <c r="C325" s="12"/>
      <c r="D325" s="12"/>
      <c r="E325" s="12"/>
      <c r="F325" s="239" t="s">
        <v>3556</v>
      </c>
      <c r="G325" s="359"/>
      <c r="H325" s="239" t="s">
        <v>2219</v>
      </c>
      <c r="I325" s="304">
        <f>IF(charge_strtower21_CHARGE="",0,charge_strtower21_CHARGE)</f>
        <v>0</v>
      </c>
    </row>
    <row r="326" spans="2:9" s="61" customFormat="1" ht="15" customHeight="1">
      <c r="B326" s="236" t="s">
        <v>3297</v>
      </c>
      <c r="C326" s="236"/>
      <c r="D326" s="236"/>
      <c r="E326" s="236"/>
      <c r="F326" s="239" t="s">
        <v>3557</v>
      </c>
      <c r="G326" s="359"/>
      <c r="H326" s="61" t="s">
        <v>2220</v>
      </c>
      <c r="I326" s="304">
        <f>IF(charge_strtower21_CHARGE_WARIMASHI="",0,charge_strtower21_CHARGE_WARIMASHI)</f>
        <v>0</v>
      </c>
    </row>
    <row r="327" spans="2:9" s="61" customFormat="1" ht="15" customHeight="1">
      <c r="B327" s="236" t="s">
        <v>3298</v>
      </c>
      <c r="C327" s="236"/>
      <c r="D327" s="236"/>
      <c r="E327" s="236"/>
      <c r="F327" s="239" t="s">
        <v>3558</v>
      </c>
      <c r="G327" s="359"/>
      <c r="H327" s="61" t="s">
        <v>2221</v>
      </c>
      <c r="I327" s="304">
        <f>IF(charge_strtower21_CHARGE_TOTAL="",0,charge_strtower21_CHARGE_TOTAL)</f>
        <v>0</v>
      </c>
    </row>
    <row r="328" spans="2:9" s="61" customFormat="1" ht="15" customHeight="1">
      <c r="B328" s="236" t="s">
        <v>3299</v>
      </c>
      <c r="G328" s="303"/>
      <c r="H328" s="61" t="s">
        <v>2222</v>
      </c>
      <c r="I328" s="305">
        <f>IF(charge_strtower21_CHARGE="","",TEXT(charge_strtower21_CHARGE,"#,##0_ "))</f>
      </c>
    </row>
    <row r="329" spans="2:9" s="61" customFormat="1" ht="15" customHeight="1">
      <c r="B329" s="236"/>
      <c r="C329" s="236"/>
      <c r="D329" s="236"/>
      <c r="E329" s="236"/>
      <c r="F329" s="360"/>
      <c r="G329" s="360"/>
      <c r="I329" s="303"/>
    </row>
    <row r="330" spans="1:9" s="61" customFormat="1" ht="15" customHeight="1">
      <c r="A330" s="13" t="s">
        <v>2858</v>
      </c>
      <c r="G330" s="303"/>
      <c r="I330" s="303"/>
    </row>
    <row r="331" spans="2:9" s="61" customFormat="1" ht="15" customHeight="1">
      <c r="B331" s="12" t="s">
        <v>1005</v>
      </c>
      <c r="C331" s="12"/>
      <c r="D331" s="12"/>
      <c r="E331" s="12"/>
      <c r="F331" s="239" t="s">
        <v>3559</v>
      </c>
      <c r="G331" s="359"/>
      <c r="H331" s="239" t="s">
        <v>1341</v>
      </c>
      <c r="I331" s="304">
        <f>IF(charge_strtower22_CHARGE="",0,charge_strtower22_CHARGE)</f>
        <v>0</v>
      </c>
    </row>
    <row r="332" spans="2:9" s="61" customFormat="1" ht="15" customHeight="1">
      <c r="B332" s="236" t="s">
        <v>3297</v>
      </c>
      <c r="C332" s="236"/>
      <c r="D332" s="236"/>
      <c r="E332" s="236"/>
      <c r="F332" s="239" t="s">
        <v>3560</v>
      </c>
      <c r="G332" s="359"/>
      <c r="H332" s="61" t="s">
        <v>1342</v>
      </c>
      <c r="I332" s="304">
        <f>IF(charge_strtower22_CHARGE_WARIMASHI="",0,charge_strtower22_CHARGE_WARIMASHI)</f>
        <v>0</v>
      </c>
    </row>
    <row r="333" spans="2:9" s="61" customFormat="1" ht="15" customHeight="1">
      <c r="B333" s="236" t="s">
        <v>3298</v>
      </c>
      <c r="C333" s="236"/>
      <c r="D333" s="236"/>
      <c r="E333" s="236"/>
      <c r="F333" s="239" t="s">
        <v>3561</v>
      </c>
      <c r="G333" s="359"/>
      <c r="H333" s="61" t="s">
        <v>1343</v>
      </c>
      <c r="I333" s="304">
        <f>IF(charge_strtower22_CHARGE_TOTAL="",0,charge_strtower22_CHARGE_TOTAL)</f>
        <v>0</v>
      </c>
    </row>
    <row r="334" spans="2:9" s="61" customFormat="1" ht="15" customHeight="1">
      <c r="B334" s="236" t="s">
        <v>3299</v>
      </c>
      <c r="G334" s="303"/>
      <c r="H334" s="61" t="s">
        <v>1344</v>
      </c>
      <c r="I334" s="305">
        <f>IF(charge_strtower22_CHARGE="","","+"&amp;TEXT(charge_strtower22_CHARGE,"#,##0_ "))</f>
      </c>
    </row>
    <row r="335" spans="2:9" s="61" customFormat="1" ht="15" customHeight="1">
      <c r="B335" s="236"/>
      <c r="C335" s="236"/>
      <c r="D335" s="236"/>
      <c r="E335" s="236"/>
      <c r="F335" s="360"/>
      <c r="G335" s="360"/>
      <c r="I335" s="303"/>
    </row>
    <row r="336" spans="1:9" s="61" customFormat="1" ht="15" customHeight="1">
      <c r="A336" s="13" t="s">
        <v>2859</v>
      </c>
      <c r="G336" s="303"/>
      <c r="I336" s="303"/>
    </row>
    <row r="337" spans="2:9" s="61" customFormat="1" ht="15" customHeight="1">
      <c r="B337" s="12" t="s">
        <v>1005</v>
      </c>
      <c r="C337" s="12"/>
      <c r="D337" s="12"/>
      <c r="E337" s="12"/>
      <c r="F337" s="239" t="s">
        <v>3562</v>
      </c>
      <c r="G337" s="359"/>
      <c r="H337" s="239" t="s">
        <v>1345</v>
      </c>
      <c r="I337" s="304">
        <f>IF(charge_strtower23_CHARGE="",0,charge_strtower23_CHARGE)</f>
        <v>0</v>
      </c>
    </row>
    <row r="338" spans="2:9" s="61" customFormat="1" ht="15" customHeight="1">
      <c r="B338" s="236" t="s">
        <v>3297</v>
      </c>
      <c r="C338" s="236"/>
      <c r="D338" s="236"/>
      <c r="E338" s="236"/>
      <c r="F338" s="239" t="s">
        <v>3563</v>
      </c>
      <c r="G338" s="359"/>
      <c r="H338" s="61" t="s">
        <v>1346</v>
      </c>
      <c r="I338" s="304">
        <f>IF(charge_strtower23_CHARGE_WARIMASHI="",0,charge_strtower23_CHARGE_WARIMASHI)</f>
        <v>0</v>
      </c>
    </row>
    <row r="339" spans="2:9" s="61" customFormat="1" ht="15" customHeight="1">
      <c r="B339" s="236" t="s">
        <v>3298</v>
      </c>
      <c r="C339" s="236"/>
      <c r="D339" s="236"/>
      <c r="E339" s="236"/>
      <c r="F339" s="239" t="s">
        <v>3564</v>
      </c>
      <c r="G339" s="359"/>
      <c r="H339" s="61" t="s">
        <v>1347</v>
      </c>
      <c r="I339" s="304">
        <f>IF(charge_strtower23_CHARGE_TOTAL="",0,charge_strtower23_CHARGE_TOTAL)</f>
        <v>0</v>
      </c>
    </row>
    <row r="340" spans="2:9" s="61" customFormat="1" ht="15" customHeight="1">
      <c r="B340" s="236" t="s">
        <v>3299</v>
      </c>
      <c r="G340" s="303"/>
      <c r="H340" s="61" t="s">
        <v>1358</v>
      </c>
      <c r="I340" s="305">
        <f>IF(charge_strtower23_CHARGE="","","+"&amp;TEXT(charge_strtower23_CHARGE,"#,##0_ "))</f>
      </c>
    </row>
    <row r="341" spans="2:9" s="61" customFormat="1" ht="15" customHeight="1">
      <c r="B341" s="236"/>
      <c r="C341" s="236"/>
      <c r="D341" s="236"/>
      <c r="E341" s="236"/>
      <c r="F341" s="360"/>
      <c r="G341" s="360"/>
      <c r="I341" s="303"/>
    </row>
    <row r="342" spans="1:9" s="61" customFormat="1" ht="15" customHeight="1">
      <c r="A342" s="13" t="s">
        <v>2860</v>
      </c>
      <c r="G342" s="303"/>
      <c r="I342" s="303"/>
    </row>
    <row r="343" spans="2:9" s="61" customFormat="1" ht="15" customHeight="1">
      <c r="B343" s="12" t="s">
        <v>1005</v>
      </c>
      <c r="C343" s="12"/>
      <c r="D343" s="12"/>
      <c r="E343" s="12"/>
      <c r="F343" s="239" t="s">
        <v>3565</v>
      </c>
      <c r="G343" s="359"/>
      <c r="H343" s="239" t="s">
        <v>1359</v>
      </c>
      <c r="I343" s="304">
        <f>IF(charge_strtower24_CHARGE="",0,charge_strtower24_CHARGE)</f>
        <v>0</v>
      </c>
    </row>
    <row r="344" spans="2:9" s="61" customFormat="1" ht="15" customHeight="1">
      <c r="B344" s="236" t="s">
        <v>3297</v>
      </c>
      <c r="C344" s="236"/>
      <c r="D344" s="236"/>
      <c r="E344" s="236"/>
      <c r="F344" s="239" t="s">
        <v>3566</v>
      </c>
      <c r="G344" s="359"/>
      <c r="H344" s="61" t="s">
        <v>1360</v>
      </c>
      <c r="I344" s="304">
        <f>IF(charge_strtower24_CHARGE_WARIMASHI="",0,charge_strtower24_CHARGE_WARIMASHI)</f>
        <v>0</v>
      </c>
    </row>
    <row r="345" spans="2:9" s="61" customFormat="1" ht="15" customHeight="1">
      <c r="B345" s="236" t="s">
        <v>3298</v>
      </c>
      <c r="C345" s="236"/>
      <c r="D345" s="236"/>
      <c r="E345" s="236"/>
      <c r="F345" s="239" t="s">
        <v>3567</v>
      </c>
      <c r="G345" s="359"/>
      <c r="H345" s="61" t="s">
        <v>1361</v>
      </c>
      <c r="I345" s="304">
        <f>IF(charge_strtower24_CHARGE_TOTAL="",0,charge_strtower24_CHARGE_TOTAL)</f>
        <v>0</v>
      </c>
    </row>
    <row r="346" spans="2:9" s="61" customFormat="1" ht="15" customHeight="1">
      <c r="B346" s="236" t="s">
        <v>3299</v>
      </c>
      <c r="G346" s="303"/>
      <c r="H346" s="61" t="s">
        <v>1362</v>
      </c>
      <c r="I346" s="305">
        <f>IF(charge_strtower24_CHARGE="","","+"&amp;TEXT(charge_strtower24_CHARGE,"#,##0_ "))</f>
      </c>
    </row>
    <row r="347" spans="2:9" s="61" customFormat="1" ht="15" customHeight="1">
      <c r="B347" s="236"/>
      <c r="G347" s="303"/>
      <c r="I347" s="303"/>
    </row>
    <row r="348" spans="1:9" s="61" customFormat="1" ht="15" customHeight="1">
      <c r="A348" s="13" t="s">
        <v>2861</v>
      </c>
      <c r="G348" s="303"/>
      <c r="I348" s="303"/>
    </row>
    <row r="349" spans="2:9" s="61" customFormat="1" ht="15" customHeight="1">
      <c r="B349" s="12" t="s">
        <v>1005</v>
      </c>
      <c r="C349" s="12"/>
      <c r="D349" s="12"/>
      <c r="E349" s="12"/>
      <c r="F349" s="239" t="s">
        <v>3568</v>
      </c>
      <c r="G349" s="359"/>
      <c r="H349" s="239" t="s">
        <v>1363</v>
      </c>
      <c r="I349" s="304">
        <f>IF(charge_strtower25_CHARGE="",0,charge_strtower25_CHARGE)</f>
        <v>0</v>
      </c>
    </row>
    <row r="350" spans="2:9" s="61" customFormat="1" ht="15" customHeight="1">
      <c r="B350" s="236" t="s">
        <v>3297</v>
      </c>
      <c r="C350" s="236"/>
      <c r="D350" s="236"/>
      <c r="E350" s="236"/>
      <c r="F350" s="239" t="s">
        <v>3569</v>
      </c>
      <c r="G350" s="359"/>
      <c r="H350" s="61" t="s">
        <v>597</v>
      </c>
      <c r="I350" s="304">
        <f>IF(charge_strtower25_CHARGE_WARIMASHI="",0,charge_strtower25_CHARGE_WARIMASHI)</f>
        <v>0</v>
      </c>
    </row>
    <row r="351" spans="2:9" s="61" customFormat="1" ht="15" customHeight="1">
      <c r="B351" s="236" t="s">
        <v>3298</v>
      </c>
      <c r="C351" s="236"/>
      <c r="D351" s="236"/>
      <c r="E351" s="236"/>
      <c r="F351" s="239" t="s">
        <v>3570</v>
      </c>
      <c r="G351" s="359"/>
      <c r="H351" s="61" t="s">
        <v>598</v>
      </c>
      <c r="I351" s="304">
        <f>IF(charge_strtower25_CHARGE_TOTAL="",0,charge_strtower25_CHARGE_TOTAL)</f>
        <v>0</v>
      </c>
    </row>
    <row r="352" spans="2:9" s="61" customFormat="1" ht="15" customHeight="1">
      <c r="B352" s="236" t="s">
        <v>3299</v>
      </c>
      <c r="G352" s="303"/>
      <c r="H352" s="61" t="s">
        <v>599</v>
      </c>
      <c r="I352" s="305">
        <f>IF(charge_strtower25_CHARGE="","",TEXT(charge_strtower25_CHARGE,"#,##0_ "))</f>
      </c>
    </row>
    <row r="353" spans="2:9" s="61" customFormat="1" ht="15" customHeight="1">
      <c r="B353" s="236"/>
      <c r="C353" s="236"/>
      <c r="D353" s="236"/>
      <c r="E353" s="236"/>
      <c r="F353" s="360"/>
      <c r="G353" s="360"/>
      <c r="I353" s="303"/>
    </row>
    <row r="354" spans="1:9" s="61" customFormat="1" ht="15" customHeight="1">
      <c r="A354" s="13" t="s">
        <v>2862</v>
      </c>
      <c r="G354" s="303"/>
      <c r="I354" s="303"/>
    </row>
    <row r="355" spans="2:9" s="61" customFormat="1" ht="15" customHeight="1">
      <c r="B355" s="12" t="s">
        <v>1005</v>
      </c>
      <c r="C355" s="12"/>
      <c r="D355" s="12"/>
      <c r="E355" s="12"/>
      <c r="F355" s="239" t="s">
        <v>3571</v>
      </c>
      <c r="G355" s="359"/>
      <c r="H355" s="239" t="s">
        <v>600</v>
      </c>
      <c r="I355" s="304">
        <f>IF(charge_strtower26_CHARGE="",0,charge_strtower26_CHARGE)</f>
        <v>0</v>
      </c>
    </row>
    <row r="356" spans="2:9" s="61" customFormat="1" ht="15" customHeight="1">
      <c r="B356" s="236" t="s">
        <v>3297</v>
      </c>
      <c r="C356" s="236"/>
      <c r="D356" s="236"/>
      <c r="E356" s="236"/>
      <c r="F356" s="239" t="s">
        <v>3572</v>
      </c>
      <c r="G356" s="359"/>
      <c r="H356" s="61" t="s">
        <v>601</v>
      </c>
      <c r="I356" s="304">
        <f>IF(charge_strtower26_CHARGE_WARIMASHI="",0,charge_strtower26_CHARGE_WARIMASHI)</f>
        <v>0</v>
      </c>
    </row>
    <row r="357" spans="2:9" s="61" customFormat="1" ht="15" customHeight="1">
      <c r="B357" s="236" t="s">
        <v>3298</v>
      </c>
      <c r="C357" s="236"/>
      <c r="D357" s="236"/>
      <c r="E357" s="236"/>
      <c r="F357" s="239" t="s">
        <v>3573</v>
      </c>
      <c r="G357" s="359"/>
      <c r="H357" s="61" t="s">
        <v>602</v>
      </c>
      <c r="I357" s="304">
        <f>IF(charge_strtower26_CHARGE_TOTAL="",0,charge_strtower26_CHARGE_TOTAL)</f>
        <v>0</v>
      </c>
    </row>
    <row r="358" spans="2:9" s="61" customFormat="1" ht="15" customHeight="1">
      <c r="B358" s="236" t="s">
        <v>3299</v>
      </c>
      <c r="G358" s="303"/>
      <c r="H358" s="61" t="s">
        <v>603</v>
      </c>
      <c r="I358" s="305">
        <f>IF(charge_strtower26_CHARGE="","","+"&amp;TEXT(charge_strtower26_CHARGE,"#,##0_ "))</f>
      </c>
    </row>
    <row r="359" spans="2:9" s="61" customFormat="1" ht="15" customHeight="1">
      <c r="B359" s="236"/>
      <c r="C359" s="236"/>
      <c r="D359" s="236"/>
      <c r="E359" s="236"/>
      <c r="F359" s="360"/>
      <c r="G359" s="360"/>
      <c r="I359" s="303"/>
    </row>
    <row r="360" spans="1:9" s="61" customFormat="1" ht="15" customHeight="1">
      <c r="A360" s="13" t="s">
        <v>2863</v>
      </c>
      <c r="G360" s="303"/>
      <c r="I360" s="303"/>
    </row>
    <row r="361" spans="2:9" s="61" customFormat="1" ht="15" customHeight="1">
      <c r="B361" s="12" t="s">
        <v>1005</v>
      </c>
      <c r="C361" s="12"/>
      <c r="D361" s="12"/>
      <c r="E361" s="12"/>
      <c r="F361" s="239" t="s">
        <v>3574</v>
      </c>
      <c r="G361" s="359"/>
      <c r="H361" s="239" t="s">
        <v>1373</v>
      </c>
      <c r="I361" s="304">
        <f>IF(charge_strtower27_CHARGE="",0,charge_strtower27_CHARGE)</f>
        <v>0</v>
      </c>
    </row>
    <row r="362" spans="2:9" s="61" customFormat="1" ht="15" customHeight="1">
      <c r="B362" s="236" t="s">
        <v>3297</v>
      </c>
      <c r="C362" s="236"/>
      <c r="D362" s="236"/>
      <c r="E362" s="236"/>
      <c r="F362" s="239" t="s">
        <v>3575</v>
      </c>
      <c r="G362" s="359"/>
      <c r="H362" s="61" t="s">
        <v>1374</v>
      </c>
      <c r="I362" s="304">
        <f>IF(charge_strtower27_CHARGE_WARIMASHI="",0,charge_strtower27_CHARGE_WARIMASHI)</f>
        <v>0</v>
      </c>
    </row>
    <row r="363" spans="2:9" s="61" customFormat="1" ht="15" customHeight="1">
      <c r="B363" s="236" t="s">
        <v>3298</v>
      </c>
      <c r="C363" s="236"/>
      <c r="D363" s="236"/>
      <c r="E363" s="236"/>
      <c r="F363" s="239" t="s">
        <v>3576</v>
      </c>
      <c r="G363" s="359"/>
      <c r="H363" s="61" t="s">
        <v>1375</v>
      </c>
      <c r="I363" s="304">
        <f>IF(charge_strtower27_CHARGE_TOTAL="",0,charge_strtower27_CHARGE_TOTAL)</f>
        <v>0</v>
      </c>
    </row>
    <row r="364" spans="2:9" s="61" customFormat="1" ht="15" customHeight="1">
      <c r="B364" s="236" t="s">
        <v>3299</v>
      </c>
      <c r="G364" s="303"/>
      <c r="H364" s="61" t="s">
        <v>1376</v>
      </c>
      <c r="I364" s="305">
        <f>IF(charge_strtower27_CHARGE="","","+"&amp;TEXT(charge_strtower27_CHARGE,"#,##0_ "))</f>
      </c>
    </row>
    <row r="365" spans="2:9" s="61" customFormat="1" ht="15" customHeight="1">
      <c r="B365" s="236"/>
      <c r="C365" s="236"/>
      <c r="D365" s="236"/>
      <c r="E365" s="236"/>
      <c r="F365" s="360"/>
      <c r="G365" s="360"/>
      <c r="I365" s="303"/>
    </row>
    <row r="366" spans="1:9" s="61" customFormat="1" ht="15" customHeight="1">
      <c r="A366" s="13" t="s">
        <v>2864</v>
      </c>
      <c r="G366" s="303"/>
      <c r="I366" s="303"/>
    </row>
    <row r="367" spans="2:9" s="61" customFormat="1" ht="15" customHeight="1">
      <c r="B367" s="12" t="s">
        <v>1005</v>
      </c>
      <c r="C367" s="12"/>
      <c r="D367" s="12"/>
      <c r="E367" s="12"/>
      <c r="F367" s="239" t="s">
        <v>3577</v>
      </c>
      <c r="G367" s="359"/>
      <c r="H367" s="239" t="s">
        <v>1377</v>
      </c>
      <c r="I367" s="304">
        <f>IF(charge_strtower28_CHARGE="",0,charge_strtower28_CHARGE)</f>
        <v>0</v>
      </c>
    </row>
    <row r="368" spans="2:9" s="61" customFormat="1" ht="15" customHeight="1">
      <c r="B368" s="236" t="s">
        <v>3297</v>
      </c>
      <c r="C368" s="236"/>
      <c r="D368" s="236"/>
      <c r="E368" s="236"/>
      <c r="F368" s="239" t="s">
        <v>3578</v>
      </c>
      <c r="G368" s="359"/>
      <c r="H368" s="61" t="s">
        <v>1378</v>
      </c>
      <c r="I368" s="304">
        <f>IF(charge_strtower28_CHARGE_WARIMASHI="",0,charge_strtower28_CHARGE_WARIMASHI)</f>
        <v>0</v>
      </c>
    </row>
    <row r="369" spans="2:9" s="61" customFormat="1" ht="15" customHeight="1">
      <c r="B369" s="236" t="s">
        <v>3298</v>
      </c>
      <c r="C369" s="236"/>
      <c r="D369" s="236"/>
      <c r="E369" s="236"/>
      <c r="F369" s="239" t="s">
        <v>3579</v>
      </c>
      <c r="G369" s="359"/>
      <c r="H369" s="61" t="s">
        <v>1379</v>
      </c>
      <c r="I369" s="304">
        <f>IF(charge_strtower28_CHARGE_TOTAL="",0,charge_strtower28_CHARGE_TOTAL)</f>
        <v>0</v>
      </c>
    </row>
    <row r="370" spans="2:9" s="61" customFormat="1" ht="15" customHeight="1">
      <c r="B370" s="236" t="s">
        <v>3299</v>
      </c>
      <c r="G370" s="303"/>
      <c r="H370" s="61" t="s">
        <v>1380</v>
      </c>
      <c r="I370" s="305">
        <f>IF(charge_strtower28_CHARGE="","","+"&amp;TEXT(charge_strtower28_CHARGE,"#,##0_ "))</f>
      </c>
    </row>
    <row r="371" spans="2:9" s="61" customFormat="1" ht="15" customHeight="1">
      <c r="B371" s="236"/>
      <c r="C371" s="236"/>
      <c r="D371" s="236"/>
      <c r="E371" s="236"/>
      <c r="F371" s="360"/>
      <c r="G371" s="360"/>
      <c r="I371" s="303"/>
    </row>
    <row r="372" spans="1:9" s="61" customFormat="1" ht="15" customHeight="1">
      <c r="A372" s="13" t="s">
        <v>2865</v>
      </c>
      <c r="G372" s="303"/>
      <c r="I372" s="303"/>
    </row>
    <row r="373" spans="2:9" s="61" customFormat="1" ht="15" customHeight="1">
      <c r="B373" s="12" t="s">
        <v>1005</v>
      </c>
      <c r="C373" s="12"/>
      <c r="D373" s="12"/>
      <c r="E373" s="12"/>
      <c r="F373" s="239" t="s">
        <v>3580</v>
      </c>
      <c r="G373" s="359"/>
      <c r="H373" s="239" t="s">
        <v>1381</v>
      </c>
      <c r="I373" s="304">
        <f>IF(charge_strtower29_CHARGE="",0,charge_strtower29_CHARGE)</f>
        <v>0</v>
      </c>
    </row>
    <row r="374" spans="2:9" s="61" customFormat="1" ht="15" customHeight="1">
      <c r="B374" s="236" t="s">
        <v>3297</v>
      </c>
      <c r="C374" s="236"/>
      <c r="D374" s="236"/>
      <c r="E374" s="236"/>
      <c r="F374" s="239" t="s">
        <v>3581</v>
      </c>
      <c r="G374" s="359"/>
      <c r="H374" s="61" t="s">
        <v>2484</v>
      </c>
      <c r="I374" s="304">
        <f>IF(charge_strtower29_CHARGE_WARIMASHI="",0,charge_strtower29_CHARGE_WARIMASHI)</f>
        <v>0</v>
      </c>
    </row>
    <row r="375" spans="2:9" s="61" customFormat="1" ht="15" customHeight="1">
      <c r="B375" s="236" t="s">
        <v>3298</v>
      </c>
      <c r="C375" s="236"/>
      <c r="D375" s="236"/>
      <c r="E375" s="236"/>
      <c r="F375" s="239" t="s">
        <v>3582</v>
      </c>
      <c r="G375" s="359"/>
      <c r="H375" s="61" t="s">
        <v>2485</v>
      </c>
      <c r="I375" s="304">
        <f>IF(charge_strtower29_CHARGE_TOTAL="",0,charge_strtower29_CHARGE_TOTAL)</f>
        <v>0</v>
      </c>
    </row>
    <row r="376" spans="2:9" s="61" customFormat="1" ht="15" customHeight="1">
      <c r="B376" s="236" t="s">
        <v>3299</v>
      </c>
      <c r="G376" s="303"/>
      <c r="H376" s="61" t="s">
        <v>2486</v>
      </c>
      <c r="I376" s="305">
        <f>IF(charge_strtower29_CHARGE="","",TEXT(charge_strtower29_CHARGE,"#,##0_ "))</f>
      </c>
    </row>
    <row r="377" spans="2:9" s="61" customFormat="1" ht="15" customHeight="1">
      <c r="B377" s="236"/>
      <c r="C377" s="236"/>
      <c r="D377" s="236"/>
      <c r="E377" s="236"/>
      <c r="F377" s="360"/>
      <c r="G377" s="360"/>
      <c r="I377" s="303"/>
    </row>
    <row r="378" spans="1:9" s="61" customFormat="1" ht="15" customHeight="1">
      <c r="A378" s="13" t="s">
        <v>2026</v>
      </c>
      <c r="G378" s="303"/>
      <c r="I378" s="303"/>
    </row>
    <row r="379" spans="2:9" s="61" customFormat="1" ht="15" customHeight="1">
      <c r="B379" s="12" t="s">
        <v>1005</v>
      </c>
      <c r="C379" s="12"/>
      <c r="D379" s="12"/>
      <c r="E379" s="12"/>
      <c r="F379" s="239" t="s">
        <v>3583</v>
      </c>
      <c r="G379" s="359"/>
      <c r="H379" s="239" t="s">
        <v>2487</v>
      </c>
      <c r="I379" s="304">
        <f>IF(charge_strtower30_CHARGE="",0,charge_strtower30_CHARGE)</f>
        <v>0</v>
      </c>
    </row>
    <row r="380" spans="2:9" s="61" customFormat="1" ht="15" customHeight="1">
      <c r="B380" s="236" t="s">
        <v>3297</v>
      </c>
      <c r="C380" s="236"/>
      <c r="D380" s="236"/>
      <c r="E380" s="236"/>
      <c r="F380" s="239" t="s">
        <v>3584</v>
      </c>
      <c r="G380" s="359"/>
      <c r="H380" s="61" t="s">
        <v>2488</v>
      </c>
      <c r="I380" s="304">
        <f>IF(charge_strtower30_CHARGE_WARIMASHI="",0,charge_strtower30_CHARGE_WARIMASHI)</f>
        <v>0</v>
      </c>
    </row>
    <row r="381" spans="2:9" s="61" customFormat="1" ht="15" customHeight="1">
      <c r="B381" s="236" t="s">
        <v>3298</v>
      </c>
      <c r="C381" s="236"/>
      <c r="D381" s="236"/>
      <c r="E381" s="236"/>
      <c r="F381" s="239" t="s">
        <v>3585</v>
      </c>
      <c r="G381" s="359"/>
      <c r="H381" s="61" t="s">
        <v>2489</v>
      </c>
      <c r="I381" s="304">
        <f>IF(charge_strtower30_CHARGE_TOTAL="",0,charge_strtower30_CHARGE_TOTAL)</f>
        <v>0</v>
      </c>
    </row>
    <row r="382" spans="2:9" s="61" customFormat="1" ht="15" customHeight="1">
      <c r="B382" s="236" t="s">
        <v>3299</v>
      </c>
      <c r="G382" s="303"/>
      <c r="H382" s="61" t="s">
        <v>2490</v>
      </c>
      <c r="I382" s="305">
        <f>IF(charge_strtower30_CHARGE="","","+"&amp;TEXT(charge_strtower30_CHARGE,"#,##0_ "))</f>
      </c>
    </row>
    <row r="383" spans="2:9" s="61" customFormat="1" ht="15" customHeight="1">
      <c r="B383" s="236"/>
      <c r="C383" s="236"/>
      <c r="D383" s="236"/>
      <c r="E383" s="236"/>
      <c r="F383" s="360"/>
      <c r="G383" s="360"/>
      <c r="I383" s="303"/>
    </row>
    <row r="384" ht="12.75" customHeight="1">
      <c r="A384" s="4" t="s">
        <v>2491</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CCFFCC"/>
  </sheetPr>
  <dimension ref="A2:C300"/>
  <sheetViews>
    <sheetView zoomScalePageLayoutView="0" workbookViewId="0" topLeftCell="A178">
      <selection activeCell="B196" sqref="B196"/>
    </sheetView>
  </sheetViews>
  <sheetFormatPr defaultColWidth="9.33203125" defaultRowHeight="11.25"/>
  <sheetData>
    <row r="2" ht="11.25">
      <c r="B2" t="s">
        <v>1163</v>
      </c>
    </row>
    <row r="4" ht="11.25">
      <c r="B4" t="s">
        <v>1164</v>
      </c>
    </row>
    <row r="5" ht="11.25">
      <c r="C5" t="s">
        <v>1644</v>
      </c>
    </row>
    <row r="6" ht="11.25">
      <c r="B6" t="s">
        <v>1165</v>
      </c>
    </row>
    <row r="7" ht="11.25">
      <c r="C7" t="s">
        <v>1348</v>
      </c>
    </row>
    <row r="8" ht="11.25">
      <c r="B8" t="s">
        <v>1166</v>
      </c>
    </row>
    <row r="9" ht="11.25">
      <c r="C9" t="s">
        <v>2181</v>
      </c>
    </row>
    <row r="10" ht="11.25">
      <c r="B10" t="s">
        <v>1167</v>
      </c>
    </row>
    <row r="11" ht="11.25">
      <c r="C11" t="s">
        <v>2182</v>
      </c>
    </row>
    <row r="12" ht="11.25">
      <c r="B12" t="s">
        <v>1168</v>
      </c>
    </row>
    <row r="13" ht="11.25">
      <c r="C13" t="s">
        <v>1645</v>
      </c>
    </row>
    <row r="14" ht="11.25">
      <c r="B14" t="s">
        <v>1169</v>
      </c>
    </row>
    <row r="15" ht="11.25">
      <c r="C15" t="s">
        <v>1646</v>
      </c>
    </row>
    <row r="17" ht="11.25">
      <c r="B17" t="s">
        <v>1170</v>
      </c>
    </row>
    <row r="18" ht="11.25">
      <c r="C18" t="s">
        <v>1647</v>
      </c>
    </row>
    <row r="20" ht="11.25">
      <c r="B20" t="s">
        <v>1171</v>
      </c>
    </row>
    <row r="21" ht="11.25">
      <c r="C21" t="s">
        <v>1648</v>
      </c>
    </row>
    <row r="22" ht="11.25">
      <c r="B22" t="s">
        <v>1172</v>
      </c>
    </row>
    <row r="23" ht="11.25">
      <c r="C23" t="s">
        <v>2972</v>
      </c>
    </row>
    <row r="24" ht="11.25">
      <c r="B24" t="s">
        <v>1173</v>
      </c>
    </row>
    <row r="25" ht="11.25">
      <c r="B25" t="s">
        <v>1174</v>
      </c>
    </row>
    <row r="26" ht="11.25">
      <c r="C26" t="s">
        <v>2973</v>
      </c>
    </row>
    <row r="27" ht="11.25">
      <c r="B27" t="s">
        <v>1175</v>
      </c>
    </row>
    <row r="28" ht="11.25">
      <c r="C28" t="s">
        <v>2974</v>
      </c>
    </row>
    <row r="29" ht="11.25">
      <c r="B29" t="s">
        <v>1176</v>
      </c>
    </row>
    <row r="30" ht="11.25">
      <c r="C30" t="s">
        <v>2975</v>
      </c>
    </row>
    <row r="31" ht="11.25">
      <c r="B31" t="s">
        <v>1177</v>
      </c>
    </row>
    <row r="32" ht="11.25">
      <c r="C32" t="s">
        <v>2976</v>
      </c>
    </row>
    <row r="33" ht="11.25">
      <c r="B33" t="s">
        <v>1178</v>
      </c>
    </row>
    <row r="34" ht="11.25">
      <c r="C34" t="s">
        <v>2977</v>
      </c>
    </row>
    <row r="36" ht="11.25">
      <c r="B36" t="s">
        <v>1179</v>
      </c>
    </row>
    <row r="37" ht="11.25">
      <c r="C37" t="s">
        <v>2978</v>
      </c>
    </row>
    <row r="38" ht="11.25">
      <c r="B38" t="s">
        <v>1180</v>
      </c>
    </row>
    <row r="39" ht="11.25">
      <c r="C39" t="s">
        <v>2979</v>
      </c>
    </row>
    <row r="40" ht="11.25">
      <c r="C40" t="s">
        <v>2980</v>
      </c>
    </row>
    <row r="42" ht="11.25">
      <c r="B42" t="s">
        <v>1181</v>
      </c>
    </row>
    <row r="43" ht="11.25">
      <c r="B43" t="s">
        <v>1164</v>
      </c>
    </row>
    <row r="44" ht="11.25">
      <c r="C44" t="s">
        <v>1644</v>
      </c>
    </row>
    <row r="45" ht="11.25">
      <c r="B45" t="s">
        <v>1165</v>
      </c>
    </row>
    <row r="46" ht="11.25">
      <c r="B46" t="s">
        <v>1182</v>
      </c>
    </row>
    <row r="47" ht="11.25">
      <c r="B47" t="s">
        <v>1166</v>
      </c>
    </row>
    <row r="48" ht="11.25">
      <c r="C48" t="s">
        <v>2181</v>
      </c>
    </row>
    <row r="49" ht="11.25">
      <c r="B49" t="s">
        <v>1167</v>
      </c>
    </row>
    <row r="50" ht="11.25">
      <c r="C50" t="s">
        <v>2182</v>
      </c>
    </row>
    <row r="51" ht="11.25">
      <c r="B51" t="s">
        <v>1168</v>
      </c>
    </row>
    <row r="52" ht="11.25">
      <c r="C52" t="s">
        <v>1645</v>
      </c>
    </row>
    <row r="53" ht="11.25">
      <c r="B53" t="s">
        <v>1169</v>
      </c>
    </row>
    <row r="54" ht="11.25">
      <c r="C54" t="s">
        <v>2981</v>
      </c>
    </row>
    <row r="56" ht="11.25">
      <c r="B56" t="s">
        <v>1183</v>
      </c>
    </row>
    <row r="57" ht="11.25">
      <c r="C57" t="s">
        <v>1352</v>
      </c>
    </row>
    <row r="59" ht="11.25">
      <c r="B59" t="s">
        <v>1184</v>
      </c>
    </row>
    <row r="60" ht="11.25">
      <c r="B60" t="s">
        <v>1174</v>
      </c>
    </row>
    <row r="61" ht="11.25">
      <c r="C61" t="s">
        <v>2973</v>
      </c>
    </row>
    <row r="62" ht="11.25">
      <c r="B62" t="s">
        <v>1176</v>
      </c>
    </row>
    <row r="63" ht="11.25">
      <c r="C63" t="s">
        <v>2975</v>
      </c>
    </row>
    <row r="64" ht="11.25">
      <c r="B64" t="s">
        <v>1175</v>
      </c>
    </row>
    <row r="66" spans="2:3" ht="11.25">
      <c r="B66" t="s">
        <v>1177</v>
      </c>
      <c r="C66" t="s">
        <v>2974</v>
      </c>
    </row>
    <row r="67" ht="11.25">
      <c r="C67" t="s">
        <v>2976</v>
      </c>
    </row>
    <row r="68" ht="11.25">
      <c r="B68" t="s">
        <v>1178</v>
      </c>
    </row>
    <row r="69" ht="11.25">
      <c r="C69" t="s">
        <v>2977</v>
      </c>
    </row>
    <row r="71" ht="11.25">
      <c r="B71" t="s">
        <v>1179</v>
      </c>
    </row>
    <row r="72" ht="11.25">
      <c r="C72" t="s">
        <v>2978</v>
      </c>
    </row>
    <row r="73" ht="11.25">
      <c r="B73" t="s">
        <v>1185</v>
      </c>
    </row>
    <row r="74" ht="11.25">
      <c r="C74" t="s">
        <v>1644</v>
      </c>
    </row>
    <row r="75" ht="11.25">
      <c r="B75" t="s">
        <v>1171</v>
      </c>
    </row>
    <row r="76" ht="11.25">
      <c r="C76" t="s">
        <v>1648</v>
      </c>
    </row>
    <row r="77" ht="11.25">
      <c r="B77" t="s">
        <v>1186</v>
      </c>
    </row>
    <row r="78" ht="11.25">
      <c r="B78" t="s">
        <v>1187</v>
      </c>
    </row>
    <row r="80" ht="11.25">
      <c r="B80" t="s">
        <v>1188</v>
      </c>
    </row>
    <row r="81" ht="11.25">
      <c r="C81" t="s">
        <v>2982</v>
      </c>
    </row>
    <row r="83" ht="11.25">
      <c r="B83" t="s">
        <v>1189</v>
      </c>
    </row>
    <row r="85" ht="11.25">
      <c r="B85" t="s">
        <v>1190</v>
      </c>
    </row>
    <row r="86" ht="11.25">
      <c r="C86" t="s">
        <v>2983</v>
      </c>
    </row>
    <row r="87" ht="11.25">
      <c r="B87" t="s">
        <v>1191</v>
      </c>
    </row>
    <row r="88" ht="11.25">
      <c r="C88" t="s">
        <v>1645</v>
      </c>
    </row>
    <row r="89" ht="11.25">
      <c r="B89" t="s">
        <v>1192</v>
      </c>
    </row>
    <row r="90" ht="11.25">
      <c r="C90" t="s">
        <v>1646</v>
      </c>
    </row>
    <row r="92" ht="11.25">
      <c r="B92" t="s">
        <v>1170</v>
      </c>
    </row>
    <row r="93" ht="11.25">
      <c r="C93" t="s">
        <v>2984</v>
      </c>
    </row>
    <row r="95" ht="11.25">
      <c r="B95" t="s">
        <v>1188</v>
      </c>
    </row>
    <row r="96" ht="11.25">
      <c r="C96" t="s">
        <v>2037</v>
      </c>
    </row>
    <row r="99" ht="11.25">
      <c r="B99" t="s">
        <v>1193</v>
      </c>
    </row>
    <row r="101" ht="11.25">
      <c r="B101" t="s">
        <v>1194</v>
      </c>
    </row>
    <row r="102" ht="11.25">
      <c r="C102" t="s">
        <v>1648</v>
      </c>
    </row>
    <row r="103" ht="11.25">
      <c r="B103" t="s">
        <v>1164</v>
      </c>
    </row>
    <row r="104" ht="11.25">
      <c r="C104" t="s">
        <v>2985</v>
      </c>
    </row>
    <row r="106" ht="11.25">
      <c r="B106" t="s">
        <v>1165</v>
      </c>
    </row>
    <row r="107" ht="11.25">
      <c r="C107" t="s">
        <v>1348</v>
      </c>
    </row>
    <row r="109" ht="11.25">
      <c r="B109" t="s">
        <v>1168</v>
      </c>
    </row>
    <row r="110" ht="11.25">
      <c r="C110" t="s">
        <v>2986</v>
      </c>
    </row>
    <row r="111" ht="11.25">
      <c r="B111" t="s">
        <v>1169</v>
      </c>
    </row>
    <row r="112" ht="11.25">
      <c r="C112" t="s">
        <v>2987</v>
      </c>
    </row>
    <row r="114" ht="11.25">
      <c r="B114" t="s">
        <v>1195</v>
      </c>
    </row>
    <row r="115" ht="11.25">
      <c r="C115" t="s">
        <v>2988</v>
      </c>
    </row>
    <row r="117" ht="11.25">
      <c r="B117" t="s">
        <v>1179</v>
      </c>
    </row>
    <row r="118" ht="11.25">
      <c r="C118" t="s">
        <v>2978</v>
      </c>
    </row>
    <row r="120" ht="11.25">
      <c r="B120" t="s">
        <v>1196</v>
      </c>
    </row>
    <row r="121" ht="11.25">
      <c r="C121" t="s">
        <v>2989</v>
      </c>
    </row>
    <row r="122" ht="11.25">
      <c r="B122" t="s">
        <v>1197</v>
      </c>
    </row>
    <row r="123" ht="11.25">
      <c r="C123" t="s">
        <v>2990</v>
      </c>
    </row>
    <row r="124" ht="11.25">
      <c r="B124" t="s">
        <v>1198</v>
      </c>
    </row>
    <row r="125" ht="11.25">
      <c r="C125" t="s">
        <v>2991</v>
      </c>
    </row>
    <row r="128" ht="11.25">
      <c r="B128" t="s">
        <v>1199</v>
      </c>
    </row>
    <row r="130" ht="11.25">
      <c r="B130" t="s">
        <v>1194</v>
      </c>
    </row>
    <row r="131" ht="11.25">
      <c r="C131" t="s">
        <v>1648</v>
      </c>
    </row>
    <row r="132" ht="11.25">
      <c r="B132" t="s">
        <v>1164</v>
      </c>
    </row>
    <row r="133" ht="11.25">
      <c r="C133" t="s">
        <v>2985</v>
      </c>
    </row>
    <row r="134" ht="11.25">
      <c r="B134" t="s">
        <v>1165</v>
      </c>
    </row>
    <row r="135" ht="11.25">
      <c r="C135" t="s">
        <v>1348</v>
      </c>
    </row>
    <row r="137" ht="11.25">
      <c r="B137" t="s">
        <v>1168</v>
      </c>
    </row>
    <row r="138" ht="11.25">
      <c r="C138" t="s">
        <v>2986</v>
      </c>
    </row>
    <row r="139" ht="11.25">
      <c r="B139" t="s">
        <v>1169</v>
      </c>
    </row>
    <row r="140" ht="11.25">
      <c r="C140" t="s">
        <v>2987</v>
      </c>
    </row>
    <row r="142" ht="11.25">
      <c r="B142" t="s">
        <v>1195</v>
      </c>
    </row>
    <row r="143" ht="11.25">
      <c r="C143" t="s">
        <v>2988</v>
      </c>
    </row>
    <row r="145" ht="11.25">
      <c r="B145" s="137" t="s">
        <v>1196</v>
      </c>
    </row>
    <row r="146" ht="11.25">
      <c r="C146" t="s">
        <v>2989</v>
      </c>
    </row>
    <row r="149" ht="11.25">
      <c r="B149" t="s">
        <v>1200</v>
      </c>
    </row>
    <row r="151" ht="11.25">
      <c r="B151" t="s">
        <v>1194</v>
      </c>
    </row>
    <row r="152" ht="11.25">
      <c r="C152" t="s">
        <v>2992</v>
      </c>
    </row>
    <row r="153" ht="11.25">
      <c r="B153" t="s">
        <v>1164</v>
      </c>
    </row>
    <row r="154" ht="11.25">
      <c r="C154" t="s">
        <v>2993</v>
      </c>
    </row>
    <row r="156" ht="11.25">
      <c r="B156" t="s">
        <v>1165</v>
      </c>
    </row>
    <row r="157" ht="11.25">
      <c r="C157" t="s">
        <v>1348</v>
      </c>
    </row>
    <row r="159" ht="11.25">
      <c r="B159" t="s">
        <v>1166</v>
      </c>
    </row>
    <row r="160" ht="11.25">
      <c r="C160" t="s">
        <v>2418</v>
      </c>
    </row>
    <row r="161" ht="11.25">
      <c r="B161" t="s">
        <v>1167</v>
      </c>
    </row>
    <row r="162" ht="11.25">
      <c r="C162" t="s">
        <v>2419</v>
      </c>
    </row>
    <row r="163" ht="11.25">
      <c r="B163" t="s">
        <v>1168</v>
      </c>
    </row>
    <row r="164" ht="11.25">
      <c r="C164" t="s">
        <v>2994</v>
      </c>
    </row>
    <row r="165" ht="11.25">
      <c r="B165" t="s">
        <v>1169</v>
      </c>
    </row>
    <row r="166" ht="11.25">
      <c r="C166" t="s">
        <v>2995</v>
      </c>
    </row>
    <row r="168" ht="11.25">
      <c r="B168" t="s">
        <v>1179</v>
      </c>
    </row>
    <row r="169" ht="11.25">
      <c r="C169" t="s">
        <v>2978</v>
      </c>
    </row>
    <row r="171" ht="11.25">
      <c r="B171" t="s">
        <v>1201</v>
      </c>
    </row>
    <row r="172" ht="11.25">
      <c r="C172" t="s">
        <v>2996</v>
      </c>
    </row>
    <row r="173" ht="11.25">
      <c r="B173" t="s">
        <v>1202</v>
      </c>
    </row>
    <row r="174" ht="11.25">
      <c r="C174" t="s">
        <v>2997</v>
      </c>
    </row>
    <row r="175" ht="11.25">
      <c r="B175" t="s">
        <v>1203</v>
      </c>
    </row>
    <row r="176" ht="11.25">
      <c r="C176" t="s">
        <v>2998</v>
      </c>
    </row>
    <row r="177" ht="11.25">
      <c r="B177" t="s">
        <v>1204</v>
      </c>
    </row>
    <row r="178" ht="11.25">
      <c r="C178" t="s">
        <v>2999</v>
      </c>
    </row>
    <row r="179" ht="11.25">
      <c r="B179" t="s">
        <v>1205</v>
      </c>
    </row>
    <row r="180" ht="11.25">
      <c r="B180" t="s">
        <v>1206</v>
      </c>
    </row>
    <row r="181" ht="11.25">
      <c r="C181" t="s">
        <v>627</v>
      </c>
    </row>
    <row r="182" ht="11.25">
      <c r="B182" t="s">
        <v>1207</v>
      </c>
    </row>
    <row r="183" ht="11.25">
      <c r="C183" t="s">
        <v>3000</v>
      </c>
    </row>
    <row r="184" ht="11.25">
      <c r="B184" t="s">
        <v>1208</v>
      </c>
    </row>
    <row r="185" ht="11.25">
      <c r="C185" t="s">
        <v>3001</v>
      </c>
    </row>
    <row r="186" ht="11.25">
      <c r="B186" t="s">
        <v>1209</v>
      </c>
    </row>
    <row r="187" ht="11.25">
      <c r="B187" t="s">
        <v>1210</v>
      </c>
    </row>
    <row r="188" ht="11.25">
      <c r="C188" t="s">
        <v>1319</v>
      </c>
    </row>
    <row r="189" ht="11.25">
      <c r="B189" t="s">
        <v>1211</v>
      </c>
    </row>
    <row r="190" ht="11.25">
      <c r="C190" t="s">
        <v>2142</v>
      </c>
    </row>
    <row r="191" ht="11.25">
      <c r="B191" t="s">
        <v>1212</v>
      </c>
    </row>
    <row r="192" ht="11.25">
      <c r="C192" t="s">
        <v>3012</v>
      </c>
    </row>
    <row r="193" ht="11.25">
      <c r="B193" t="s">
        <v>1213</v>
      </c>
    </row>
    <row r="194" ht="11.25">
      <c r="C194" t="s">
        <v>3013</v>
      </c>
    </row>
    <row r="196" ht="11.25">
      <c r="B196" t="s">
        <v>1214</v>
      </c>
    </row>
    <row r="197" ht="11.25">
      <c r="C197" t="s">
        <v>3014</v>
      </c>
    </row>
    <row r="198" ht="11.25">
      <c r="B198" t="s">
        <v>1215</v>
      </c>
    </row>
    <row r="199" ht="11.25">
      <c r="C199" t="s">
        <v>3214</v>
      </c>
    </row>
    <row r="200" ht="11.25">
      <c r="B200" t="s">
        <v>1216</v>
      </c>
    </row>
    <row r="201" ht="11.25">
      <c r="C201" t="s">
        <v>3212</v>
      </c>
    </row>
    <row r="202" ht="11.25">
      <c r="B202" t="s">
        <v>1217</v>
      </c>
    </row>
    <row r="203" ht="11.25">
      <c r="C203" t="s">
        <v>2611</v>
      </c>
    </row>
    <row r="204" ht="11.25">
      <c r="B204" t="s">
        <v>1218</v>
      </c>
    </row>
    <row r="205" ht="11.25">
      <c r="C205" t="s">
        <v>3015</v>
      </c>
    </row>
    <row r="206" ht="11.25">
      <c r="B206" t="s">
        <v>1219</v>
      </c>
    </row>
    <row r="207" ht="11.25">
      <c r="C207" t="s">
        <v>3016</v>
      </c>
    </row>
    <row r="210" ht="11.25">
      <c r="B210" t="s">
        <v>2462</v>
      </c>
    </row>
    <row r="212" ht="11.25">
      <c r="B212" t="s">
        <v>1194</v>
      </c>
    </row>
    <row r="213" ht="11.25">
      <c r="C213" t="s">
        <v>2992</v>
      </c>
    </row>
    <row r="214" ht="11.25">
      <c r="B214" t="s">
        <v>1164</v>
      </c>
    </row>
    <row r="215" ht="11.25">
      <c r="C215" t="s">
        <v>2993</v>
      </c>
    </row>
    <row r="217" ht="11.25">
      <c r="B217" t="s">
        <v>1165</v>
      </c>
    </row>
    <row r="218" ht="11.25">
      <c r="C218" t="s">
        <v>1348</v>
      </c>
    </row>
    <row r="220" ht="11.25">
      <c r="B220" t="s">
        <v>1166</v>
      </c>
    </row>
    <row r="221" ht="11.25">
      <c r="C221" t="s">
        <v>2418</v>
      </c>
    </row>
    <row r="222" ht="11.25">
      <c r="B222" t="s">
        <v>1167</v>
      </c>
    </row>
    <row r="223" ht="11.25">
      <c r="C223" t="s">
        <v>2419</v>
      </c>
    </row>
    <row r="224" ht="11.25">
      <c r="B224" t="s">
        <v>1168</v>
      </c>
    </row>
    <row r="225" ht="11.25">
      <c r="C225" t="s">
        <v>2994</v>
      </c>
    </row>
    <row r="226" ht="11.25">
      <c r="B226" t="s">
        <v>1169</v>
      </c>
    </row>
    <row r="227" ht="11.25">
      <c r="C227" t="s">
        <v>2995</v>
      </c>
    </row>
    <row r="229" ht="11.25">
      <c r="B229" t="s">
        <v>1179</v>
      </c>
    </row>
    <row r="230" ht="11.25">
      <c r="C230" t="s">
        <v>2978</v>
      </c>
    </row>
    <row r="232" ht="11.25">
      <c r="B232" t="s">
        <v>1201</v>
      </c>
    </row>
    <row r="233" ht="11.25">
      <c r="C233" t="s">
        <v>2996</v>
      </c>
    </row>
    <row r="234" ht="11.25">
      <c r="B234" t="s">
        <v>2760</v>
      </c>
    </row>
    <row r="235" ht="11.25">
      <c r="C235" t="s">
        <v>2761</v>
      </c>
    </row>
    <row r="236" ht="11.25">
      <c r="B236" t="s">
        <v>2762</v>
      </c>
    </row>
    <row r="237" ht="11.25">
      <c r="C237" t="s">
        <v>2763</v>
      </c>
    </row>
    <row r="238" ht="11.25">
      <c r="B238" t="s">
        <v>1202</v>
      </c>
    </row>
    <row r="239" ht="11.25">
      <c r="C239" t="s">
        <v>2764</v>
      </c>
    </row>
    <row r="240" ht="11.25">
      <c r="B240" t="s">
        <v>2765</v>
      </c>
    </row>
    <row r="241" ht="11.25">
      <c r="C241" t="s">
        <v>2766</v>
      </c>
    </row>
    <row r="242" ht="11.25">
      <c r="B242" t="s">
        <v>2767</v>
      </c>
    </row>
    <row r="243" ht="11.25">
      <c r="C243" t="s">
        <v>2768</v>
      </c>
    </row>
    <row r="244" ht="11.25">
      <c r="B244" t="s">
        <v>2769</v>
      </c>
    </row>
    <row r="245" ht="11.25">
      <c r="C245" t="s">
        <v>2770</v>
      </c>
    </row>
    <row r="246" ht="11.25">
      <c r="B246" t="s">
        <v>2771</v>
      </c>
    </row>
    <row r="247" ht="11.25">
      <c r="C247" t="s">
        <v>2772</v>
      </c>
    </row>
    <row r="249" ht="11.25">
      <c r="B249" t="s">
        <v>1214</v>
      </c>
    </row>
    <row r="250" ht="11.25">
      <c r="C250" t="s">
        <v>3014</v>
      </c>
    </row>
    <row r="253" ht="11.25">
      <c r="B253" t="s">
        <v>310</v>
      </c>
    </row>
    <row r="255" ht="11.25">
      <c r="B255" t="s">
        <v>1194</v>
      </c>
    </row>
    <row r="256" ht="11.25">
      <c r="C256" t="s">
        <v>2992</v>
      </c>
    </row>
    <row r="257" ht="11.25">
      <c r="B257" t="s">
        <v>1164</v>
      </c>
    </row>
    <row r="258" ht="11.25">
      <c r="C258" t="s">
        <v>2993</v>
      </c>
    </row>
    <row r="260" ht="11.25">
      <c r="B260" t="s">
        <v>1165</v>
      </c>
    </row>
    <row r="261" ht="11.25">
      <c r="C261" t="s">
        <v>1348</v>
      </c>
    </row>
    <row r="263" ht="11.25">
      <c r="B263" t="s">
        <v>1166</v>
      </c>
    </row>
    <row r="264" ht="11.25">
      <c r="C264" t="s">
        <v>2418</v>
      </c>
    </row>
    <row r="265" ht="11.25">
      <c r="B265" t="s">
        <v>1167</v>
      </c>
    </row>
    <row r="266" ht="11.25">
      <c r="C266" t="s">
        <v>2419</v>
      </c>
    </row>
    <row r="267" ht="11.25">
      <c r="B267" t="s">
        <v>1168</v>
      </c>
    </row>
    <row r="268" ht="11.25">
      <c r="C268" t="s">
        <v>2994</v>
      </c>
    </row>
    <row r="269" ht="11.25">
      <c r="B269" t="s">
        <v>1169</v>
      </c>
    </row>
    <row r="270" ht="11.25">
      <c r="C270" t="s">
        <v>2995</v>
      </c>
    </row>
    <row r="272" ht="11.25">
      <c r="B272" t="s">
        <v>1179</v>
      </c>
    </row>
    <row r="273" ht="11.25">
      <c r="C273" t="s">
        <v>2978</v>
      </c>
    </row>
    <row r="275" ht="11.25">
      <c r="B275" t="s">
        <v>311</v>
      </c>
    </row>
    <row r="276" ht="11.25">
      <c r="C276" t="s">
        <v>2996</v>
      </c>
    </row>
    <row r="278" ht="11.25">
      <c r="B278" t="s">
        <v>312</v>
      </c>
    </row>
    <row r="279" ht="11.25">
      <c r="C279" t="s">
        <v>313</v>
      </c>
    </row>
    <row r="280" ht="11.25">
      <c r="B280" t="s">
        <v>314</v>
      </c>
    </row>
    <row r="281" ht="11.25">
      <c r="C281" t="s">
        <v>315</v>
      </c>
    </row>
    <row r="282" ht="11.25">
      <c r="C282" t="s">
        <v>316</v>
      </c>
    </row>
    <row r="283" ht="11.25">
      <c r="C283" t="s">
        <v>317</v>
      </c>
    </row>
    <row r="284" ht="11.25">
      <c r="B284" t="s">
        <v>1204</v>
      </c>
    </row>
    <row r="285" ht="11.25">
      <c r="C285" t="s">
        <v>1740</v>
      </c>
    </row>
    <row r="286" ht="11.25">
      <c r="B286" t="s">
        <v>2762</v>
      </c>
    </row>
    <row r="287" ht="11.25">
      <c r="C287" t="s">
        <v>1741</v>
      </c>
    </row>
    <row r="288" ht="11.25">
      <c r="B288" t="s">
        <v>1742</v>
      </c>
    </row>
    <row r="289" ht="11.25">
      <c r="C289" t="s">
        <v>1743</v>
      </c>
    </row>
    <row r="290" ht="11.25">
      <c r="B290" t="s">
        <v>1744</v>
      </c>
    </row>
    <row r="291" ht="11.25">
      <c r="C291" t="s">
        <v>1768</v>
      </c>
    </row>
    <row r="293" ht="11.25">
      <c r="B293" t="s">
        <v>1214</v>
      </c>
    </row>
    <row r="294" ht="11.25">
      <c r="C294" t="s">
        <v>3014</v>
      </c>
    </row>
    <row r="296" ht="11.25">
      <c r="B296" t="s">
        <v>1769</v>
      </c>
    </row>
    <row r="297" ht="11.25">
      <c r="C297" t="s">
        <v>1770</v>
      </c>
    </row>
    <row r="298" ht="11.25">
      <c r="C298" t="s">
        <v>3016</v>
      </c>
    </row>
    <row r="300" ht="11.25">
      <c r="A300" t="s">
        <v>1304</v>
      </c>
    </row>
  </sheetData>
  <sheetProtection/>
  <printOptions/>
  <pageMargins left="0.787" right="0.787" top="0.984" bottom="0.984" header="0.512" footer="0.512"/>
  <pageSetup orientation="portrait" paperSize="9"/>
</worksheet>
</file>

<file path=xl/worksheets/sheet5.xml><?xml version="1.0" encoding="utf-8"?>
<worksheet xmlns="http://schemas.openxmlformats.org/spreadsheetml/2006/main" xmlns:r="http://schemas.openxmlformats.org/officeDocument/2006/relationships">
  <sheetPr>
    <tabColor rgb="FFCCFFCC"/>
  </sheetPr>
  <dimension ref="A1:K171"/>
  <sheetViews>
    <sheetView zoomScalePageLayoutView="0" workbookViewId="0" topLeftCell="A1">
      <pane ySplit="2" topLeftCell="A102" activePane="bottomLeft" state="frozen"/>
      <selection pane="topLeft" activeCell="A1" sqref="A1"/>
      <selection pane="bottomLeft" activeCell="I133" sqref="I133"/>
    </sheetView>
  </sheetViews>
  <sheetFormatPr defaultColWidth="9.33203125" defaultRowHeight="11.25"/>
  <cols>
    <col min="1" max="4" width="3.83203125" style="0" customWidth="1"/>
    <col min="5" max="7" width="19.66015625" style="0" customWidth="1"/>
    <col min="8" max="8" width="23" style="0" customWidth="1"/>
    <col min="9" max="10" width="19.66015625" style="0" customWidth="1"/>
    <col min="11" max="19" width="5.83203125" style="0" customWidth="1"/>
  </cols>
  <sheetData>
    <row r="1" ht="11.25">
      <c r="A1" t="s">
        <v>444</v>
      </c>
    </row>
    <row r="2" spans="1:10" ht="11.25">
      <c r="A2" t="s">
        <v>2043</v>
      </c>
      <c r="F2" t="s">
        <v>2044</v>
      </c>
      <c r="G2" t="s">
        <v>2867</v>
      </c>
      <c r="H2" t="s">
        <v>2046</v>
      </c>
      <c r="I2" t="s">
        <v>2868</v>
      </c>
      <c r="J2" t="s">
        <v>2286</v>
      </c>
    </row>
    <row r="5" spans="1:7" s="11" customFormat="1" ht="12.75" customHeight="1">
      <c r="A5" s="62" t="s">
        <v>898</v>
      </c>
      <c r="B5" s="62"/>
      <c r="C5" s="62"/>
      <c r="D5" s="62"/>
      <c r="E5" s="62"/>
      <c r="F5" s="62"/>
      <c r="G5" s="12"/>
    </row>
    <row r="6" spans="3:10" s="11" customFormat="1" ht="12.75" customHeight="1">
      <c r="C6" s="13"/>
      <c r="D6" s="12"/>
      <c r="E6" s="12"/>
      <c r="I6" s="101"/>
      <c r="J6" s="101"/>
    </row>
    <row r="7" spans="2:10" s="11" customFormat="1" ht="12.75" customHeight="1">
      <c r="B7" s="11" t="s">
        <v>1727</v>
      </c>
      <c r="H7" s="11" t="s">
        <v>899</v>
      </c>
      <c r="I7" s="62" t="str">
        <f>SUBSTITUTE(SUBSTITUTE(SUBSTITUTE(cst_PRESENTER_CORP__KoufuFuka,"　","")," ",""),"財団法人","財団法人 ")</f>
        <v>株式会社近確機構</v>
      </c>
      <c r="J7" s="11" t="s">
        <v>34</v>
      </c>
    </row>
    <row r="8" spans="2:10" s="11" customFormat="1" ht="12.75" customHeight="1">
      <c r="B8" s="11" t="s">
        <v>1728</v>
      </c>
      <c r="H8" s="11" t="s">
        <v>900</v>
      </c>
      <c r="I8" s="62" t="str">
        <f>SUBSTITUTE(SUBSTITUTE(cst_PRESENTER_DAIHYOSYA__KoufuFuka,"　","")," ","")</f>
        <v>代表取締役中川秀夫</v>
      </c>
      <c r="J8" s="11" t="s">
        <v>897</v>
      </c>
    </row>
    <row r="9" s="4" customFormat="1" ht="12.75" customHeight="1">
      <c r="H9" s="5"/>
    </row>
    <row r="10" s="4" customFormat="1" ht="12.75" customHeight="1">
      <c r="F10" s="5"/>
    </row>
    <row r="11" spans="1:6" s="12" customFormat="1" ht="12.75" customHeight="1">
      <c r="A11" s="56" t="s">
        <v>895</v>
      </c>
      <c r="B11" s="56"/>
      <c r="C11" s="56"/>
      <c r="D11" s="56"/>
      <c r="E11" s="56"/>
      <c r="F11" s="56"/>
    </row>
    <row r="12" spans="3:10" s="11" customFormat="1" ht="12.75" customHeight="1">
      <c r="C12" s="13"/>
      <c r="D12" s="12"/>
      <c r="E12" s="12"/>
      <c r="I12" s="101"/>
      <c r="J12" s="101"/>
    </row>
    <row r="13" spans="2:7" s="11" customFormat="1" ht="12.75" customHeight="1">
      <c r="B13" s="11" t="s">
        <v>894</v>
      </c>
      <c r="G13" s="12"/>
    </row>
    <row r="14" s="12" customFormat="1" ht="12.75" customHeight="1">
      <c r="B14" s="12" t="s">
        <v>893</v>
      </c>
    </row>
    <row r="15" s="12" customFormat="1" ht="12.75" customHeight="1">
      <c r="B15" s="12" t="s">
        <v>892</v>
      </c>
    </row>
    <row r="16" spans="2:9" s="61" customFormat="1" ht="12.75" customHeight="1">
      <c r="B16" s="61" t="s">
        <v>891</v>
      </c>
      <c r="H16" s="4" t="s">
        <v>890</v>
      </c>
      <c r="I16" s="130"/>
    </row>
    <row r="17" spans="2:9" s="61" customFormat="1" ht="12.75" customHeight="1">
      <c r="B17" s="61" t="s">
        <v>889</v>
      </c>
      <c r="H17" s="4" t="s">
        <v>888</v>
      </c>
      <c r="I17" s="130"/>
    </row>
    <row r="18" spans="2:9" s="4" customFormat="1" ht="12.75" customHeight="1">
      <c r="B18" s="4" t="s">
        <v>887</v>
      </c>
      <c r="H18" s="4" t="s">
        <v>886</v>
      </c>
      <c r="I18" s="20">
        <f ca="1">IF(ISNA(MATCH(city_city,cst_SHINSAKAI__city_area,0)),"",OFFSET(cst_SHINSAKAI__base_point,MATCH(city_city,cst_SHINSAKAI__city_area,0),-3,1,1))</f>
      </c>
    </row>
    <row r="19" spans="2:9" s="4" customFormat="1" ht="12.75" customHeight="1">
      <c r="B19" s="4" t="s">
        <v>885</v>
      </c>
      <c r="H19" s="11" t="s">
        <v>896</v>
      </c>
      <c r="I19" s="62" t="str">
        <f>IF(city_CITY_KIND="","○○市",IF(OR(city_CITY_KIND="特定行政庁",city_CITY_KIND="特別区"),city_city,IF(city_CITY_KIND="限定特定行政庁",IF(AND(cst_shinsei_build_STAT_HOU6__firestation=4,cst_SHINSAKAI__city_search&lt;&gt;""),city_city,city_ken),IF(city_CITY_KIND="その他",city_ken))))</f>
        <v>尼崎市</v>
      </c>
    </row>
    <row r="20" s="61" customFormat="1" ht="12.75" customHeight="1"/>
    <row r="21" spans="2:9" s="4" customFormat="1" ht="12.75" customHeight="1">
      <c r="B21" s="129" t="s">
        <v>884</v>
      </c>
      <c r="C21" s="127"/>
      <c r="D21" s="127"/>
      <c r="E21" s="127"/>
      <c r="F21" s="128" t="s">
        <v>2457</v>
      </c>
      <c r="G21" s="127"/>
      <c r="H21" s="127"/>
      <c r="I21" s="126"/>
    </row>
    <row r="22" spans="2:9" s="4" customFormat="1" ht="12.75" customHeight="1">
      <c r="B22" s="123" t="s">
        <v>883</v>
      </c>
      <c r="F22" s="125"/>
      <c r="I22" s="124"/>
    </row>
    <row r="23" spans="2:9" s="4" customFormat="1" ht="12.75" customHeight="1">
      <c r="B23" s="123" t="s">
        <v>882</v>
      </c>
      <c r="F23" s="125"/>
      <c r="I23" s="124"/>
    </row>
    <row r="24" spans="2:9" s="11" customFormat="1" ht="12.75" customHeight="1">
      <c r="B24" s="123" t="s">
        <v>881</v>
      </c>
      <c r="C24" s="4"/>
      <c r="D24" s="4"/>
      <c r="E24" s="4"/>
      <c r="F24" s="125"/>
      <c r="G24" s="4"/>
      <c r="H24" s="4"/>
      <c r="I24" s="124"/>
    </row>
    <row r="25" spans="2:9" s="4" customFormat="1" ht="12.75" customHeight="1">
      <c r="B25" s="123" t="s">
        <v>880</v>
      </c>
      <c r="C25" s="11"/>
      <c r="D25" s="11"/>
      <c r="E25" s="11"/>
      <c r="F25" s="122"/>
      <c r="G25" s="11"/>
      <c r="H25" s="11"/>
      <c r="I25" s="121"/>
    </row>
    <row r="26" spans="2:9" s="4" customFormat="1" ht="12.75" customHeight="1">
      <c r="B26" s="120"/>
      <c r="C26" s="118"/>
      <c r="D26" s="118"/>
      <c r="E26" s="118"/>
      <c r="F26" s="119"/>
      <c r="G26" s="118"/>
      <c r="H26" s="118"/>
      <c r="I26" s="117"/>
    </row>
    <row r="27" s="4" customFormat="1" ht="12.75" customHeight="1">
      <c r="F27" s="5"/>
    </row>
    <row r="28" s="4" customFormat="1" ht="12.75" customHeight="1">
      <c r="F28" s="5"/>
    </row>
    <row r="29" spans="1:9" s="11" customFormat="1" ht="12">
      <c r="A29" s="62" t="s">
        <v>1160</v>
      </c>
      <c r="B29" s="62"/>
      <c r="C29" s="62"/>
      <c r="D29" s="62"/>
      <c r="E29" s="62"/>
      <c r="F29" s="62"/>
      <c r="G29" s="62"/>
      <c r="I29" s="12"/>
    </row>
    <row r="30" spans="1:10" s="11" customFormat="1" ht="12">
      <c r="A30" s="11" t="s">
        <v>1159</v>
      </c>
      <c r="H30" s="11" t="s">
        <v>1158</v>
      </c>
      <c r="I30" s="190" t="str">
        <f>cst_shinsei_PREF_OFFICE_FLAG</f>
        <v>無</v>
      </c>
      <c r="J30" s="11" t="s">
        <v>3178</v>
      </c>
    </row>
    <row r="31" spans="1:10" s="11" customFormat="1" ht="12">
      <c r="A31" s="11" t="s">
        <v>2314</v>
      </c>
      <c r="H31" s="11" t="s">
        <v>1157</v>
      </c>
      <c r="I31" s="190" t="str">
        <f>cst_city_CITY_KIND</f>
        <v>特定行政庁</v>
      </c>
      <c r="J31" s="11" t="s">
        <v>1156</v>
      </c>
    </row>
    <row r="32" spans="1:10" s="11" customFormat="1" ht="12">
      <c r="A32" s="52" t="s">
        <v>694</v>
      </c>
      <c r="B32" s="52"/>
      <c r="C32" s="52"/>
      <c r="D32" s="52"/>
      <c r="E32" s="52"/>
      <c r="H32" s="11" t="s">
        <v>1155</v>
      </c>
      <c r="I32" s="190">
        <f>cst_shinsei_REPORT_DEST_KIND</f>
        <v>1</v>
      </c>
      <c r="J32" s="11" t="s">
        <v>696</v>
      </c>
    </row>
    <row r="33" spans="1:10" s="11" customFormat="1" ht="12">
      <c r="A33" s="11" t="s">
        <v>1154</v>
      </c>
      <c r="H33" s="11" t="s">
        <v>1153</v>
      </c>
      <c r="I33" s="190" t="str">
        <f>cst_shinsei_build_STAT_HOU6</f>
        <v>２号</v>
      </c>
      <c r="J33" s="11" t="s">
        <v>1152</v>
      </c>
    </row>
    <row r="34" spans="1:10" s="11" customFormat="1" ht="12">
      <c r="A34" s="11" t="s">
        <v>1151</v>
      </c>
      <c r="H34" s="11" t="s">
        <v>442</v>
      </c>
      <c r="I34" s="62">
        <f>IF(shinsei_build_STAT_HOU6_1="","",IF(shinsei_build_STAT_HOU6_1="１号",10,IF(shinsei_build_STAT_HOU6_1="１号（１号＋２号）",12,IF(shinsei_build_STAT_HOU6_1="１号（１号＋３号）",13,IF(shinsei_build_STAT_HOU6_1="２号",2,IF(shinsei_build_STAT_HOU6_1="３号",3,IF(OR(shinsei_build_STAT_HOU6_1="４号",shinsei_build_STAT_HOU6_1="１号を含まない特殊建築物"),4)))))))</f>
        <v>2</v>
      </c>
      <c r="J34" s="11" t="s">
        <v>1150</v>
      </c>
    </row>
    <row r="35" spans="1:10" s="11" customFormat="1" ht="12">
      <c r="A35" s="11" t="s">
        <v>1149</v>
      </c>
      <c r="H35" s="11" t="s">
        <v>443</v>
      </c>
      <c r="I35" s="62" t="str">
        <f>IF(shinsei_build_STAT_HOU6_1="","",IF(shinsei_build_STAT_HOU6_1="４号","有","無"))</f>
        <v>無</v>
      </c>
      <c r="J35" s="11" t="s">
        <v>3178</v>
      </c>
    </row>
    <row r="36" spans="1:10" s="11" customFormat="1" ht="12">
      <c r="A36" s="11" t="s">
        <v>1148</v>
      </c>
      <c r="H36" s="11" t="s">
        <v>1147</v>
      </c>
      <c r="I36" s="190">
        <f>cst_shinsei_EV_TYPE</f>
      </c>
      <c r="J36" s="11" t="s">
        <v>2434</v>
      </c>
    </row>
    <row r="37" spans="1:10" s="11" customFormat="1" ht="12">
      <c r="A37" s="11" t="s">
        <v>2433</v>
      </c>
      <c r="H37" s="11" t="s">
        <v>2432</v>
      </c>
      <c r="I37" s="190">
        <f>cst_shinsei_WORK_TYPE</f>
      </c>
      <c r="J37" s="11" t="s">
        <v>2431</v>
      </c>
    </row>
    <row r="38" spans="1:10" s="11" customFormat="1" ht="12">
      <c r="A38" s="13" t="s">
        <v>2430</v>
      </c>
      <c r="B38" s="13"/>
      <c r="C38" s="13"/>
      <c r="D38" s="13"/>
      <c r="E38" s="13"/>
      <c r="H38" s="12" t="s">
        <v>2429</v>
      </c>
      <c r="I38" s="191">
        <f>cst_shinsei_WORK_88</f>
      </c>
      <c r="J38" s="11" t="s">
        <v>724</v>
      </c>
    </row>
    <row r="39" spans="1:9" s="11" customFormat="1" ht="12">
      <c r="A39" s="11" t="s">
        <v>723</v>
      </c>
      <c r="H39" s="11" t="s">
        <v>315</v>
      </c>
      <c r="I39" s="190">
        <f>cst_shinsei_ev_KOUSAKU_TAKASA</f>
      </c>
    </row>
    <row r="40" spans="1:9" s="11" customFormat="1" ht="12">
      <c r="A40" s="11" t="s">
        <v>722</v>
      </c>
      <c r="H40" s="11" t="s">
        <v>317</v>
      </c>
      <c r="I40" s="190">
        <f>cst_shinsei_ev_KOUSAKU_TAKASA_MAX</f>
      </c>
    </row>
    <row r="41" s="11" customFormat="1" ht="12">
      <c r="I41" s="12"/>
    </row>
    <row r="43" spans="1:9" s="11" customFormat="1" ht="12.75" customHeight="1">
      <c r="A43" s="20" t="s">
        <v>904</v>
      </c>
      <c r="B43" s="62"/>
      <c r="C43" s="62"/>
      <c r="D43" s="62"/>
      <c r="E43" s="62"/>
      <c r="F43" s="62"/>
      <c r="G43" s="62"/>
      <c r="I43" s="12"/>
    </row>
    <row r="44" spans="2:9" s="4" customFormat="1" ht="12.75" customHeight="1">
      <c r="B44" s="61" t="s">
        <v>889</v>
      </c>
      <c r="C44" s="61"/>
      <c r="D44" s="61"/>
      <c r="H44" s="4" t="s">
        <v>905</v>
      </c>
      <c r="I44" s="130"/>
    </row>
    <row r="45" spans="2:10" s="4" customFormat="1" ht="12.75" customHeight="1">
      <c r="B45" s="4" t="s">
        <v>906</v>
      </c>
      <c r="H45" s="4" t="s">
        <v>907</v>
      </c>
      <c r="I45" s="20">
        <f>IF(cst_shinsei_PREF_OFFICE_FLAG="有",4,IF(cst_shinsei_REPORT_DEST_KIND="","",IF(cst_shinsei_REPORT_DEST_KIND=1,1,IF(cst_shinsei_REPORT_DEST_KIND=2,2,IF(cst_shinsei_REPORT_DEST_KIND=3,3,"")))))</f>
        <v>1</v>
      </c>
      <c r="J45" s="11" t="s">
        <v>908</v>
      </c>
    </row>
    <row r="46" s="4" customFormat="1" ht="12.75" customHeight="1">
      <c r="E46" s="4" t="s">
        <v>909</v>
      </c>
    </row>
    <row r="47" spans="2:10" s="4" customFormat="1" ht="12.75" customHeight="1">
      <c r="B47" s="4" t="s">
        <v>3248</v>
      </c>
      <c r="H47" s="4" t="s">
        <v>3249</v>
      </c>
      <c r="I47" s="20">
        <f>IF(AND(city_ken="奈良県",city_CITY_KIND="その他",cst_shinsei_TARGET_KIND="建築物",shinsei_build_KAISU_TIJYOU_SHINSEI&gt;=4),4,shinsei_REPORT_DEST_GYOUSEI_KIND__base)</f>
        <v>1</v>
      </c>
      <c r="J47" s="4" t="s">
        <v>3250</v>
      </c>
    </row>
    <row r="48" s="4" customFormat="1" ht="12.75" customHeight="1">
      <c r="E48" s="4" t="s">
        <v>2774</v>
      </c>
    </row>
    <row r="49" spans="2:9" s="4" customFormat="1" ht="12.75" customHeight="1">
      <c r="B49" s="4" t="s">
        <v>2775</v>
      </c>
      <c r="H49" s="4" t="s">
        <v>2776</v>
      </c>
      <c r="I49" s="138">
        <f>shinsei_REPORT_DEST_GYOUSEI_KIND__case1</f>
        <v>1</v>
      </c>
    </row>
    <row r="50" s="4" customFormat="1" ht="12.75" customHeight="1">
      <c r="B50" s="4" t="s">
        <v>2777</v>
      </c>
    </row>
    <row r="51" spans="5:9" s="4" customFormat="1" ht="12.75" customHeight="1">
      <c r="E51" s="11" t="s">
        <v>2778</v>
      </c>
      <c r="H51" s="11" t="s">
        <v>3294</v>
      </c>
      <c r="I51" s="20" t="str">
        <f ca="1">IF(shinsei_REPORT_DEST_GYOUSEI_KIND="","",OFFSET(shinsei_REPORT_DEST_GYOUSEI_KIND__base_point,1,shinsei_REPORT_DEST_GYOUSEI_KIND,1,1))</f>
        <v>尼崎市役所</v>
      </c>
    </row>
    <row r="52" spans="5:9" s="4" customFormat="1" ht="12.75" customHeight="1">
      <c r="E52" s="11" t="s">
        <v>2779</v>
      </c>
      <c r="H52" s="11" t="s">
        <v>3295</v>
      </c>
      <c r="I52" s="20" t="str">
        <f ca="1">IF(shinsei_REPORT_DEST_GYOUSEI_KIND="","",OFFSET(shinsei_REPORT_DEST_GYOUSEI_KIND__base_point,2,shinsei_REPORT_DEST_GYOUSEI_KIND,1,1))</f>
        <v>都市局　建築指導課</v>
      </c>
    </row>
    <row r="53" spans="5:9" s="4" customFormat="1" ht="12.75" customHeight="1">
      <c r="E53" s="11" t="s">
        <v>2780</v>
      </c>
      <c r="H53" s="11" t="s">
        <v>3296</v>
      </c>
      <c r="I53" s="20">
        <f ca="1">IF(shinsei_REPORT_DEST_GYOUSEI_KIND="","",OFFSET(shinsei_REPORT_DEST_GYOUSEI_KIND__base_point,3,shinsei_REPORT_DEST_GYOUSEI_KIND,1,1))</f>
      </c>
    </row>
    <row r="54" spans="5:9" s="4" customFormat="1" ht="12.75" customHeight="1">
      <c r="E54" s="11" t="s">
        <v>2781</v>
      </c>
      <c r="H54" s="11" t="s">
        <v>1658</v>
      </c>
      <c r="I54" s="20" t="str">
        <f ca="1">IF(shinsei_REPORT_DEST_GYOUSEI_KIND="","",OFFSET(shinsei_REPORT_DEST_GYOUSEI_KIND__base_point,4,shinsei_REPORT_DEST_GYOUSEI_KIND,1,1))</f>
        <v>尼崎市建築主事</v>
      </c>
    </row>
    <row r="55" spans="5:9" s="4" customFormat="1" ht="12.75" customHeight="1">
      <c r="E55" s="11" t="s">
        <v>2782</v>
      </c>
      <c r="H55" s="11" t="s">
        <v>1659</v>
      </c>
      <c r="I55" s="20" t="str">
        <f ca="1">IF(shinsei_REPORT_DEST_GYOUSEI_KIND="","",OFFSET(shinsei_REPORT_DEST_GYOUSEI_KIND__base_point,5,shinsei_REPORT_DEST_GYOUSEI_KIND,1,1))</f>
        <v>尼崎市長</v>
      </c>
    </row>
    <row r="56" s="4" customFormat="1" ht="12.75" customHeight="1">
      <c r="A56" s="4" t="s">
        <v>2783</v>
      </c>
    </row>
    <row r="57" spans="1:10" s="4" customFormat="1" ht="12.75" customHeight="1">
      <c r="A57" s="139"/>
      <c r="B57" s="140"/>
      <c r="C57" s="140"/>
      <c r="D57" s="140"/>
      <c r="E57" s="141"/>
      <c r="F57" s="142" t="s">
        <v>770</v>
      </c>
      <c r="G57" s="143" t="s">
        <v>456</v>
      </c>
      <c r="H57" s="143" t="s">
        <v>771</v>
      </c>
      <c r="I57" s="143" t="s">
        <v>772</v>
      </c>
      <c r="J57" s="143" t="s">
        <v>773</v>
      </c>
    </row>
    <row r="58" spans="1:11" s="4" customFormat="1" ht="12.75" customHeight="1">
      <c r="A58" s="144" t="s">
        <v>774</v>
      </c>
      <c r="B58" s="145"/>
      <c r="C58" s="145"/>
      <c r="D58" s="145"/>
      <c r="E58" s="145"/>
      <c r="F58" s="146" t="str">
        <f>cst_shinsei_REPORT_DEST_NAME</f>
        <v>尼崎市役所</v>
      </c>
      <c r="G58" s="146" t="str">
        <f>cst_city_CITY_PUBLIC_OFFICE_ID__NAME</f>
        <v>尼崎市役所</v>
      </c>
      <c r="H58" s="146">
        <f>cst_city_KEN1_PUBLIC_OFFICE_ID__NAME</f>
      </c>
      <c r="I58" s="146">
        <f>cst_city_KEN2_PUBLIC_OFFICE_ID__NAME</f>
      </c>
      <c r="J58" s="146">
        <f>cst_city_KEN_PUBLIC_OFFICE_ID__NAME</f>
      </c>
      <c r="K58" s="11"/>
    </row>
    <row r="59" spans="1:11" s="4" customFormat="1" ht="12.75" customHeight="1">
      <c r="A59" s="147" t="s">
        <v>775</v>
      </c>
      <c r="F59" s="148" t="str">
        <f>cst_shinsei_REPORT_DEST_DEPART_NAME</f>
        <v>都市局　建築指導課</v>
      </c>
      <c r="G59" s="148" t="str">
        <f>cst_city_CITY_PUBLIC_OFFICE_ID__DEPART_NAME</f>
        <v>都市局　建築指導課</v>
      </c>
      <c r="H59" s="148">
        <f>cst_city_KEN1_PUBLIC_OFFICE_ID__DEPART_NAME</f>
      </c>
      <c r="I59" s="148">
        <f>cst_city_KEN2_PUBLIC_OFFICE_ID__DEPART_NAME</f>
      </c>
      <c r="J59" s="148">
        <f>cst_city_KEN_PUBLIC_OFFICE_ID__DEPART_NAME</f>
      </c>
      <c r="K59" s="11"/>
    </row>
    <row r="60" spans="1:11" s="4" customFormat="1" ht="12.75" customHeight="1">
      <c r="A60" s="147" t="s">
        <v>776</v>
      </c>
      <c r="F60" s="148">
        <f>cst_shinsei_REPORT_DEST_FAX</f>
      </c>
      <c r="G60" s="148">
        <f>cst_city_CITY_PUBLIC_OFFICE_ID__FAX</f>
      </c>
      <c r="H60" s="148">
        <f>cst_city_KEN1_PUBLIC_OFFICE_ID__FAX</f>
      </c>
      <c r="I60" s="148">
        <f>cst_city_KEN2_PUBLIC_OFFICE_ID__FAX</f>
      </c>
      <c r="J60" s="148">
        <f>cst_city_KEN_PUBLIC_OFFICE_ID__FAX</f>
      </c>
      <c r="K60" s="11"/>
    </row>
    <row r="61" spans="1:11" s="4" customFormat="1" ht="12.75" customHeight="1">
      <c r="A61" s="147" t="s">
        <v>777</v>
      </c>
      <c r="F61" s="148" t="str">
        <f>cst_shinsei_REPORT_DEST_SYUJI_NAME</f>
        <v>尼崎市建築主事</v>
      </c>
      <c r="G61" s="148" t="str">
        <f>cst_city_CITY_PUBLIC_OFFICE_ID__SYUJI_NAME</f>
        <v>尼崎市建築主事</v>
      </c>
      <c r="H61" s="148">
        <f>cst_city_KEN1_PUBLIC_OFFICE_ID__SYUJI_NAME</f>
      </c>
      <c r="I61" s="148">
        <f>cst_city_KEN2_PUBLIC_OFFICE_ID__SYUJI_NAME</f>
      </c>
      <c r="J61" s="148">
        <f>cst_city_KEN_PUBLIC_OFFICE_ID__SYUJI_NAME</f>
      </c>
      <c r="K61" s="11"/>
    </row>
    <row r="62" spans="1:11" s="4" customFormat="1" ht="12.75" customHeight="1">
      <c r="A62" s="149" t="s">
        <v>778</v>
      </c>
      <c r="B62" s="118"/>
      <c r="C62" s="118"/>
      <c r="D62" s="118"/>
      <c r="E62" s="118"/>
      <c r="F62" s="150" t="str">
        <f>cst_shinsei_REPORT_DEST_GYOUSEI_NAME</f>
        <v>尼崎市長</v>
      </c>
      <c r="G62" s="150" t="str">
        <f>cst_city_CITY_PUBLIC_OFFICE_ID__GYOUSEI_NAME</f>
        <v>尼崎市長</v>
      </c>
      <c r="H62" s="150">
        <f>cst_city_KEN1_PUBLIC_OFFICE_ID__GYOUSEI_NAME</f>
      </c>
      <c r="I62" s="150">
        <f>cst_city_KEN2_PUBLIC_OFFICE_ID__GYOUSEI_NAME</f>
      </c>
      <c r="J62" s="150">
        <f>cst_city_KEN_PUBLIC_OFFICE_ID__GYOUSEI_NAME</f>
      </c>
      <c r="K62" s="11"/>
    </row>
    <row r="63" s="11" customFormat="1" ht="12.75" customHeight="1">
      <c r="G63" s="12"/>
    </row>
    <row r="64" s="55" customFormat="1" ht="12.75" customHeight="1"/>
    <row r="65" spans="1:7" s="4" customFormat="1" ht="12.75" customHeight="1">
      <c r="A65" s="20" t="s">
        <v>2362</v>
      </c>
      <c r="B65" s="20"/>
      <c r="C65" s="20"/>
      <c r="D65" s="20"/>
      <c r="E65" s="20"/>
      <c r="F65" s="20"/>
      <c r="G65" s="20"/>
    </row>
    <row r="66" spans="9:10" s="4" customFormat="1" ht="12.75" customHeight="1">
      <c r="I66" s="558"/>
      <c r="J66" s="558"/>
    </row>
    <row r="67" spans="5:10" s="4" customFormat="1" ht="12.75" customHeight="1">
      <c r="E67" s="4" t="s">
        <v>2363</v>
      </c>
      <c r="G67" s="4" t="s">
        <v>2364</v>
      </c>
      <c r="H67" s="20">
        <f>IF(ISERROR(MATCH(cst_RENRAKUSAKI_KOUZOU_TANTOU,cst_RENRAKUSAKI_KOUZOU_TANTOU_EMAILcheck_Erea,0)),"",MATCH(cst_RENRAKUSAKI_KOUZOU_TANTOU,cst_RENRAKUSAKI_KOUZOU_TANTOU_EMAILcheck_Erea,0))</f>
      </c>
      <c r="I67" s="6"/>
      <c r="J67" s="6"/>
    </row>
    <row r="68" spans="2:10" s="4" customFormat="1" ht="12.75" customHeight="1">
      <c r="B68" s="4" t="s">
        <v>2365</v>
      </c>
      <c r="E68" s="4" t="s">
        <v>2366</v>
      </c>
      <c r="G68" s="4" t="s">
        <v>3292</v>
      </c>
      <c r="H68" s="20">
        <f ca="1">IF(cst_RENRAKUSAKI_KOUZOU_TANTOU__search="","",OFFSET(cst_RENRAKUSAKI_KOUZOU_TANTOU_LinkCell,cst_RENRAKUSAKI_KOUZOU_TANTOU__search+2,5,1,1))</f>
      </c>
      <c r="I68" s="6"/>
      <c r="J68" s="6"/>
    </row>
    <row r="69" spans="9:10" s="4" customFormat="1" ht="12.75" customHeight="1">
      <c r="I69" s="6"/>
      <c r="J69" s="6"/>
    </row>
    <row r="70" spans="1:9" s="4" customFormat="1" ht="12.75" customHeight="1">
      <c r="A70" s="559">
        <f ca="1">IF(cst_RENRAKUSAKI_KOUZOU_TANTOU_LinkCell="",cst_shinsei_KOUZOU_TANTO1,IF(OFFSET(cst_RENRAKUSAKI_KOUZOU_TANTOU_LinkCell,cst_RENRAKUSAKI_KOUZOU_TANTOU_LinkCell,0,1,1)="","",OFFSET(cst_RENRAKUSAKI_KOUZOU_TANTOU_LinkCell,cst_RENRAKUSAKI_KOUZOU_TANTOU_LinkCell,0,1,1)))</f>
      </c>
      <c r="B70" s="560"/>
      <c r="C70" s="560"/>
      <c r="D70" s="560"/>
      <c r="E70" s="561"/>
      <c r="H70" s="4" t="s">
        <v>2367</v>
      </c>
      <c r="I70" s="4" t="s">
        <v>866</v>
      </c>
    </row>
    <row r="71" spans="1:9" s="4" customFormat="1" ht="12.75" customHeight="1">
      <c r="A71" s="130">
        <v>2</v>
      </c>
      <c r="B71" s="242"/>
      <c r="C71" s="242"/>
      <c r="D71" s="242"/>
      <c r="E71" s="243"/>
      <c r="H71" s="4" t="s">
        <v>867</v>
      </c>
      <c r="I71" s="4" t="s">
        <v>868</v>
      </c>
    </row>
    <row r="72" spans="1:9" s="4" customFormat="1" ht="12.75" customHeight="1">
      <c r="A72" s="244"/>
      <c r="B72" s="245"/>
      <c r="C72" s="245"/>
      <c r="D72" s="245"/>
      <c r="E72" s="246"/>
      <c r="H72" s="4" t="s">
        <v>869</v>
      </c>
      <c r="I72" s="4" t="s">
        <v>870</v>
      </c>
    </row>
    <row r="73" spans="1:8" s="4" customFormat="1" ht="12.75" customHeight="1">
      <c r="A73" s="123">
        <f>cst_shinsei_KOUZOU_TANTO1</f>
      </c>
      <c r="B73" s="130"/>
      <c r="C73" s="130"/>
      <c r="D73" s="130"/>
      <c r="E73" s="247"/>
      <c r="F73" s="248"/>
      <c r="H73" s="4" t="s">
        <v>871</v>
      </c>
    </row>
    <row r="74" spans="1:9" s="4" customFormat="1" ht="12.75" customHeight="1">
      <c r="A74" s="123" t="s">
        <v>872</v>
      </c>
      <c r="B74" s="16"/>
      <c r="C74" s="16"/>
      <c r="D74" s="16"/>
      <c r="E74" s="249"/>
      <c r="F74" s="250" t="s">
        <v>873</v>
      </c>
      <c r="H74" s="4" t="s">
        <v>874</v>
      </c>
      <c r="I74" s="4" t="s">
        <v>875</v>
      </c>
    </row>
    <row r="75" spans="1:6" s="4" customFormat="1" ht="12.75" customHeight="1">
      <c r="A75" s="123" t="s">
        <v>3284</v>
      </c>
      <c r="B75" s="16"/>
      <c r="C75" s="16"/>
      <c r="D75" s="16"/>
      <c r="E75" s="249"/>
      <c r="F75" s="250" t="s">
        <v>3285</v>
      </c>
    </row>
    <row r="76" spans="1:6" s="4" customFormat="1" ht="12.75" customHeight="1">
      <c r="A76" s="123" t="s">
        <v>3286</v>
      </c>
      <c r="B76" s="16"/>
      <c r="C76" s="16"/>
      <c r="D76" s="16"/>
      <c r="E76" s="249"/>
      <c r="F76" s="250" t="s">
        <v>3287</v>
      </c>
    </row>
    <row r="77" spans="1:6" s="4" customFormat="1" ht="12.75" customHeight="1">
      <c r="A77" s="123" t="s">
        <v>3288</v>
      </c>
      <c r="B77" s="16"/>
      <c r="C77" s="16"/>
      <c r="D77" s="16"/>
      <c r="E77" s="249"/>
      <c r="F77" s="250" t="s">
        <v>3289</v>
      </c>
    </row>
    <row r="78" spans="1:6" s="4" customFormat="1" ht="12.75" customHeight="1">
      <c r="A78" s="123" t="s">
        <v>3290</v>
      </c>
      <c r="B78" s="16"/>
      <c r="C78" s="16"/>
      <c r="D78" s="16"/>
      <c r="E78" s="249"/>
      <c r="F78" s="250" t="s">
        <v>3291</v>
      </c>
    </row>
    <row r="79" spans="1:6" s="4" customFormat="1" ht="12.75" customHeight="1">
      <c r="A79" s="123"/>
      <c r="B79" s="16"/>
      <c r="C79" s="16"/>
      <c r="D79" s="16"/>
      <c r="E79" s="249"/>
      <c r="F79" s="250"/>
    </row>
    <row r="80" spans="1:6" s="4" customFormat="1" ht="12.75" customHeight="1">
      <c r="A80" s="123"/>
      <c r="B80" s="16"/>
      <c r="C80" s="16"/>
      <c r="D80" s="16"/>
      <c r="E80" s="249"/>
      <c r="F80" s="250"/>
    </row>
    <row r="81" spans="1:6" s="4" customFormat="1" ht="12.75" customHeight="1">
      <c r="A81" s="123"/>
      <c r="B81" s="16"/>
      <c r="C81" s="16"/>
      <c r="D81" s="16"/>
      <c r="E81" s="249"/>
      <c r="F81" s="250"/>
    </row>
    <row r="82" spans="1:6" s="4" customFormat="1" ht="12.75" customHeight="1">
      <c r="A82" s="123"/>
      <c r="B82" s="16"/>
      <c r="C82" s="16"/>
      <c r="D82" s="16"/>
      <c r="E82" s="249"/>
      <c r="F82" s="250"/>
    </row>
    <row r="83" spans="1:6" s="4" customFormat="1" ht="12.75" customHeight="1">
      <c r="A83" s="123"/>
      <c r="B83" s="16"/>
      <c r="C83" s="16"/>
      <c r="D83" s="16"/>
      <c r="E83" s="249"/>
      <c r="F83" s="250"/>
    </row>
    <row r="84" spans="1:6" s="4" customFormat="1" ht="12.75" customHeight="1">
      <c r="A84" s="123"/>
      <c r="B84" s="16"/>
      <c r="C84" s="16"/>
      <c r="D84" s="16"/>
      <c r="E84" s="249"/>
      <c r="F84" s="250"/>
    </row>
    <row r="85" spans="1:6" s="4" customFormat="1" ht="12.75" customHeight="1">
      <c r="A85" s="123"/>
      <c r="B85" s="16"/>
      <c r="C85" s="16"/>
      <c r="D85" s="16"/>
      <c r="E85" s="249"/>
      <c r="F85" s="250"/>
    </row>
    <row r="86" spans="1:6" s="4" customFormat="1" ht="12.75" customHeight="1">
      <c r="A86" s="123"/>
      <c r="B86" s="16"/>
      <c r="C86" s="16"/>
      <c r="D86" s="16"/>
      <c r="E86" s="249"/>
      <c r="F86" s="250"/>
    </row>
    <row r="87" spans="1:6" s="4" customFormat="1" ht="12.75" customHeight="1">
      <c r="A87" s="123"/>
      <c r="B87" s="16"/>
      <c r="C87" s="16"/>
      <c r="D87" s="16"/>
      <c r="E87" s="249"/>
      <c r="F87" s="250"/>
    </row>
    <row r="88" spans="1:6" s="4" customFormat="1" ht="12.75" customHeight="1">
      <c r="A88" s="123"/>
      <c r="B88" s="16"/>
      <c r="C88" s="16"/>
      <c r="D88" s="16"/>
      <c r="E88" s="249"/>
      <c r="F88" s="250"/>
    </row>
    <row r="89" spans="1:6" s="4" customFormat="1" ht="12.75" customHeight="1">
      <c r="A89" s="120"/>
      <c r="B89" s="251"/>
      <c r="C89" s="251"/>
      <c r="D89" s="251"/>
      <c r="E89" s="252"/>
      <c r="F89" s="253"/>
    </row>
    <row r="90" s="4" customFormat="1" ht="12.75" customHeight="1"/>
    <row r="91" s="4" customFormat="1" ht="12.75" customHeight="1"/>
    <row r="92" spans="1:8" s="4" customFormat="1" ht="12.75" customHeight="1">
      <c r="A92" s="20" t="s">
        <v>2933</v>
      </c>
      <c r="B92" s="20"/>
      <c r="C92" s="20"/>
      <c r="D92" s="20"/>
      <c r="E92" s="20"/>
      <c r="F92" s="99"/>
      <c r="G92" s="20"/>
      <c r="H92" s="4" t="s">
        <v>2934</v>
      </c>
    </row>
    <row r="96" spans="2:10" ht="11.25">
      <c r="B96" t="s">
        <v>2935</v>
      </c>
      <c r="H96" t="s">
        <v>2938</v>
      </c>
      <c r="I96" s="306" t="str">
        <f>cst_shinsei_INSPECTION_TYPE_class4&amp;"申請手数料"&amp;IF(shinsei_INSPECTION_TYPE="中間検査","（  "&amp;cst_shinsei_intermediate_CYU1_KAISUU&amp;" 回目）","")</f>
        <v>確認申請手数料</v>
      </c>
      <c r="J96" t="s">
        <v>2936</v>
      </c>
    </row>
    <row r="98" spans="2:9" ht="11.25">
      <c r="B98" t="s">
        <v>2939</v>
      </c>
      <c r="H98" t="s">
        <v>2940</v>
      </c>
      <c r="I98" s="306" t="str">
        <f>IF(cst_shinsei_INSPECTION_TYPE_class2="確認申請",IF(shinsei_TARGET_KIND="建築物","構造計算適合性判定手数料",""),"その他手数料")</f>
        <v>構造計算適合性判定手数料</v>
      </c>
    </row>
    <row r="100" spans="2:9" ht="11.25">
      <c r="B100" t="s">
        <v>3118</v>
      </c>
      <c r="H100" t="s">
        <v>3119</v>
      </c>
      <c r="I100" s="306">
        <f>IF(AND(cst_shinsei_INSPECTION_TYPE_class2="確認申請",shinsei_TARGET_KIND="建築物"),cst_charge_STR_CHARGE__CHARGE_WARIMASHI,IF(cst_shinsei_INSPECTION_TYPE_class2="検査申請",cst_charge_ZOUGEN_CHARGE__total,""))</f>
        <v>0</v>
      </c>
    </row>
    <row r="103" spans="1:5" s="11" customFormat="1" ht="12.75" customHeight="1">
      <c r="A103" s="56" t="s">
        <v>2625</v>
      </c>
      <c r="B103" s="56"/>
      <c r="C103" s="56"/>
      <c r="D103" s="62"/>
      <c r="E103" s="64"/>
    </row>
    <row r="104" s="4" customFormat="1" ht="12.75" customHeight="1"/>
    <row r="105" spans="1:10" s="11" customFormat="1" ht="12.75" customHeight="1">
      <c r="A105" s="12"/>
      <c r="B105" s="12"/>
      <c r="C105" s="12" t="s">
        <v>2626</v>
      </c>
      <c r="D105" s="12"/>
      <c r="E105" s="12"/>
      <c r="F105" s="12"/>
      <c r="G105" s="12"/>
      <c r="H105" s="12" t="s">
        <v>2627</v>
      </c>
      <c r="I105" s="17" t="str">
        <f>IF(_button_kind="交付",IF(cst_shinsei_BUILD_NAME_COMP="",cst_shinsei_BILL_NAME__common,cst_shinsei_BUILD_NAME_COMP),cst_shinsei_BILL_NAME__common)</f>
        <v>（仮称）尼崎市長洲中通三丁目　新築工事</v>
      </c>
      <c r="J105" s="12"/>
    </row>
    <row r="106" spans="1:10" s="11" customFormat="1" ht="12.75" customHeight="1">
      <c r="A106" s="12"/>
      <c r="B106" s="12"/>
      <c r="C106" s="12" t="s">
        <v>2628</v>
      </c>
      <c r="D106" s="12"/>
      <c r="E106" s="12"/>
      <c r="F106" s="12"/>
      <c r="G106" s="12"/>
      <c r="H106" s="12" t="s">
        <v>2629</v>
      </c>
      <c r="I106" s="17">
        <f>IF(_button_kind="交付",IF(cst_shinsei_BUILD_NAME_COMP="","","   (旧： "&amp;cst_shinsei_BILL_NAME__common&amp;")"),"")</f>
      </c>
      <c r="J106" s="12"/>
    </row>
    <row r="107" s="4" customFormat="1" ht="12.75" customHeight="1"/>
    <row r="109" spans="1:5" ht="11.25">
      <c r="A109" s="395"/>
      <c r="B109" s="395"/>
      <c r="C109" s="395"/>
      <c r="D109" s="395"/>
      <c r="E109" s="395"/>
    </row>
    <row r="112" ht="11.25">
      <c r="A112" t="s">
        <v>318</v>
      </c>
    </row>
    <row r="114" spans="3:9" ht="11.25">
      <c r="C114" t="s">
        <v>319</v>
      </c>
      <c r="H114" t="s">
        <v>1729</v>
      </c>
      <c r="I114" s="306">
        <f>IF(OR(city_city="堺市",city_city="和泉市",city_city="守口市",city_city="東大阪市",city_city="高槻市",city_city="泉佐野市",city_city="高石市",city_city="泉南市",city_city="泉大津市",city_city="尼崎市",city_city="加古川市",city_city="神戸市"),cst_shinsei_KAKUNINZUMI_HOUKOKU_GYOSEI_NO,"")</f>
      </c>
    </row>
    <row r="116" spans="3:9" ht="11.25">
      <c r="C116" t="s">
        <v>1730</v>
      </c>
      <c r="H116" t="s">
        <v>1731</v>
      </c>
      <c r="I116" s="306" t="str">
        <f>IF(AND(cst_shinsei_KAKUNINZUMI_HOUKOKU_GYOSEI_NO="",OR(city_city="堺市",city_city="和泉市",city_city="守口市",city_city="東大阪市",city_city="高槻市",city_city="泉佐野市",city_city="高石市",city_city="泉南市",city_city="泉大津市",city_city="尼崎市",city_city="加古川市",city_city="神戸市")),"行政経由番号が入力されていません！","")</f>
        <v>行政経由番号が入力されていません！</v>
      </c>
    </row>
    <row r="119" ht="11.25">
      <c r="A119" t="s">
        <v>831</v>
      </c>
    </row>
    <row r="121" spans="3:9" ht="11.25">
      <c r="C121" t="s">
        <v>2225</v>
      </c>
      <c r="H121" t="s">
        <v>2226</v>
      </c>
      <c r="I121" s="306">
        <f>IF(city_city="和歌山市","和歌山市のため提出不要","")</f>
      </c>
    </row>
    <row r="125" ht="11.25">
      <c r="A125" t="s">
        <v>832</v>
      </c>
    </row>
    <row r="126" spans="3:9" ht="11.25">
      <c r="C126" t="s">
        <v>725</v>
      </c>
      <c r="H126" t="s">
        <v>726</v>
      </c>
      <c r="I126" s="306" t="str">
        <f>IF(OR(city_ken="大阪府",city_city="神戸市",city_city="芦屋市",city_city="西宮市",city_city="尼崎市",city_city="宝塚市",city_city="伊丹市",city_city="川西市"),"近距離","遠隔地")</f>
        <v>近距離</v>
      </c>
    </row>
    <row r="131" ht="11.25">
      <c r="A131" t="s">
        <v>833</v>
      </c>
    </row>
    <row r="132" spans="3:9" ht="11.25">
      <c r="C132" t="s">
        <v>830</v>
      </c>
      <c r="H132" t="s">
        <v>834</v>
      </c>
      <c r="I132" s="306" t="str">
        <f>LEFT(cst_shinsei_UKETUKE_NO,3)&amp;"-"&amp;RIGHT(cst_shinsei_UKETUKE_NO,4)</f>
        <v>H27-2130</v>
      </c>
    </row>
    <row r="135" spans="1:2" ht="11.25">
      <c r="A135" t="s">
        <v>1736</v>
      </c>
      <c r="B135" t="s">
        <v>511</v>
      </c>
    </row>
    <row r="137" spans="3:9" ht="11.25">
      <c r="C137" t="s">
        <v>512</v>
      </c>
      <c r="H137" t="s">
        <v>513</v>
      </c>
      <c r="I137" s="306" t="str">
        <f>MID(cst_shinsei_UKETUKE_NO,2,2)</f>
        <v>27</v>
      </c>
    </row>
    <row r="139" spans="3:9" ht="11.25">
      <c r="C139" t="s">
        <v>2958</v>
      </c>
      <c r="H139" t="s">
        <v>2959</v>
      </c>
      <c r="I139" s="306" t="str">
        <f>IF(cst_shinsei_TARGET_KIND="昇降機","（昇降機）","（工作物）")</f>
        <v>（工作物）</v>
      </c>
    </row>
    <row r="143" ht="11.25">
      <c r="A143" t="s">
        <v>232</v>
      </c>
    </row>
    <row r="145" spans="3:9" ht="11.25">
      <c r="C145" t="s">
        <v>233</v>
      </c>
      <c r="H145" t="s">
        <v>234</v>
      </c>
      <c r="I145" s="306" t="str">
        <f>IF(cst_shinsei__REPORT_KAKU_SUMI_KOUFU_NAME="株式会社 近畿建築確認検査機構","（当社）","（他社）")</f>
        <v>（他社）</v>
      </c>
    </row>
    <row r="147" spans="3:10" ht="11.25">
      <c r="C147" t="s">
        <v>240</v>
      </c>
      <c r="H147" t="s">
        <v>235</v>
      </c>
      <c r="I147" s="306" t="str">
        <f>IF(cst_shinsei_INSPECTION_NO=1,cst_shinsei_HIKIUKE_KAKU_KOUFU_YOTEI_DATE,"平成　　年　　月　　日")</f>
        <v>平成　　年　　月　　日</v>
      </c>
      <c r="J147" t="s">
        <v>237</v>
      </c>
    </row>
    <row r="148" spans="8:10" ht="11.25">
      <c r="H148" t="s">
        <v>236</v>
      </c>
      <c r="I148" s="306" t="str">
        <f>IF(cst_shinsei_INSPECTION_NO=2,cst_shinsei_HIKIUKE_KAKU_KOUFU_YOTEI_DATE,"平成　　年　　月　　日")</f>
        <v>平成　　年　　月　　日</v>
      </c>
      <c r="J148" t="s">
        <v>238</v>
      </c>
    </row>
    <row r="150" spans="3:9" ht="11.25">
      <c r="C150" t="s">
        <v>241</v>
      </c>
      <c r="H150" t="s">
        <v>244</v>
      </c>
      <c r="I150" s="306" t="str">
        <f>IF(cst_shinsei_INSPECTION_NO=1,cst_shinsei_UKETUKE_NO,"　　　　　　　　　　　　号")</f>
        <v>　　　　　　　　　　　　号</v>
      </c>
    </row>
    <row r="151" spans="8:9" ht="11.25">
      <c r="H151" t="s">
        <v>19</v>
      </c>
      <c r="I151" s="306" t="str">
        <f>IF(cst_shinsei_INSPECTION_NO=2,"　　　　　　　　　　　　号",LEFT(cst_INSPECTION_NO_Uketuke_Select1,3)&amp;"-"&amp;RIGHT(cst_INSPECTION_NO_Uketuke_Select1,4)&amp;"号")</f>
        <v>　　　-　　　号号</v>
      </c>
    </row>
    <row r="152" spans="8:9" ht="11.25">
      <c r="H152" t="s">
        <v>245</v>
      </c>
      <c r="I152" s="306" t="str">
        <f>IF(cst_shinsei_INSPECTION_NO=2,cst_shinsei_UKETUKE_NO,"　　　　　　　　　　　　号")</f>
        <v>　　　　　　　　　　　　号</v>
      </c>
    </row>
    <row r="153" spans="8:9" ht="11.25">
      <c r="H153" t="s">
        <v>20</v>
      </c>
      <c r="I153" s="306" t="str">
        <f>IF(cst_shinsei_INSPECTION_NO=1,"　　　　　　　　　　　　号",LEFT(cst_INSPECTION_NO_Uketuke_Select2,3)&amp;"-"&amp;RIGHT(cst_INSPECTION_NO_Uketuke_Select2,4)&amp;"号")</f>
        <v>　　　-　　　号号</v>
      </c>
    </row>
    <row r="155" spans="3:9" ht="11.25">
      <c r="C155" t="s">
        <v>242</v>
      </c>
      <c r="H155" t="s">
        <v>239</v>
      </c>
      <c r="I155" s="306" t="str">
        <f>IF(cst_shinsei_INSPECTION_TYPE="完了検査",cst_shinsei_HIKIUKE_KAKU_KOUFU_YOTEI_DATE,"平成　　年　　月　　日")</f>
        <v>平成　　年　　月　　日</v>
      </c>
    </row>
    <row r="156" spans="3:9" ht="11.25">
      <c r="C156" t="s">
        <v>243</v>
      </c>
      <c r="H156" t="s">
        <v>246</v>
      </c>
      <c r="I156" s="306" t="str">
        <f>IF(cst_shinsei_INSPECTION_TYPE="完了検査",cst_shinsei_UKETUKE_NO__disp,"　　　　　　　　　　　　号")</f>
        <v>　　　　　　　　　　　　号</v>
      </c>
    </row>
    <row r="157" spans="8:9" ht="11.25">
      <c r="H157" t="s">
        <v>21</v>
      </c>
      <c r="I157" s="306" t="str">
        <f>IF(cst_shinsei_INSPECTION_TYPE="完了検査",LEFT(cst_INSPECTION_TYPE_final_Uketuke,3)&amp;"-"&amp;RIGHT(cst_INSPECTION_TYPE_final_Uketuke,4),"　　　　　　　　　　　　号")</f>
        <v>　　　　　　　　　　　　号</v>
      </c>
    </row>
    <row r="159" ht="11.25">
      <c r="C159" t="s">
        <v>23</v>
      </c>
    </row>
    <row r="160" spans="5:9" ht="11.25">
      <c r="E160" t="s">
        <v>230</v>
      </c>
      <c r="H160" t="s">
        <v>24</v>
      </c>
      <c r="I160" s="306">
        <f>IF(cst_shinsei_INSPECTION_NO=1,cst_shinsei_intermediate_GOUKAKU_KENSAIN,"")</f>
      </c>
    </row>
    <row r="161" spans="5:9" ht="11.25">
      <c r="E161" t="s">
        <v>22</v>
      </c>
      <c r="H161" t="s">
        <v>25</v>
      </c>
      <c r="I161" s="306">
        <f>IF(cst_shinsei_INSPECTION_NO=2,cst_shinsei_intermediate_GOUKAKU_KENSAIN,"")</f>
      </c>
    </row>
    <row r="162" spans="5:9" ht="11.25">
      <c r="E162" t="s">
        <v>231</v>
      </c>
      <c r="H162" t="s">
        <v>26</v>
      </c>
      <c r="I162" s="306">
        <f>IF(cst_shinsei_INSPECTION_TYPE="完了検査",cst_shinsei_KAN_ZUMI_KENSAIN,"")</f>
      </c>
    </row>
    <row r="164" ht="11.25">
      <c r="A164" t="s">
        <v>155</v>
      </c>
    </row>
    <row r="166" ht="11.25">
      <c r="C166" t="s">
        <v>3205</v>
      </c>
    </row>
    <row r="167" spans="4:9" ht="11.25">
      <c r="D167" t="s">
        <v>156</v>
      </c>
      <c r="H167" t="s">
        <v>157</v>
      </c>
      <c r="I167" s="306" t="str">
        <f>IF(cst_shinsei_INSPECTION_TYPE="完了検査","検査済証","確認済証")</f>
        <v>確認済証</v>
      </c>
    </row>
    <row r="170" ht="11.25">
      <c r="A170" t="s">
        <v>3314</v>
      </c>
    </row>
    <row r="171" spans="3:9" ht="11.25">
      <c r="C171" t="s">
        <v>3315</v>
      </c>
      <c r="H171" t="s">
        <v>3316</v>
      </c>
      <c r="I171" s="306" t="str">
        <f>MID(cst_shinsei_KAKU_SUMI_NO,2,8)&amp;"-"&amp;RIGHT(cst_shinsei_KAKU_SUMI_NO,4)</f>
        <v>-</v>
      </c>
    </row>
  </sheetData>
  <sheetProtection/>
  <mergeCells count="2">
    <mergeCell ref="I66:J66"/>
    <mergeCell ref="A70:E70"/>
  </mergeCells>
  <hyperlinks>
    <hyperlink ref="F75" r:id="rId1" display="fukuzawa@hlpa.or.jp"/>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rgb="FFCCFFCC"/>
  </sheetPr>
  <dimension ref="A1:Z29"/>
  <sheetViews>
    <sheetView zoomScalePageLayoutView="0" workbookViewId="0" topLeftCell="A10">
      <selection activeCell="A23" sqref="A23"/>
    </sheetView>
  </sheetViews>
  <sheetFormatPr defaultColWidth="9.33203125" defaultRowHeight="11.25"/>
  <cols>
    <col min="1" max="1" width="100.83203125" style="116" customWidth="1"/>
    <col min="2" max="16384" width="9.33203125" style="116" customWidth="1"/>
  </cols>
  <sheetData>
    <row r="1" spans="1:14" s="102" customFormat="1" ht="13.5" customHeight="1">
      <c r="A1" s="102" t="s">
        <v>3237</v>
      </c>
      <c r="F1" s="103"/>
      <c r="G1" s="103"/>
      <c r="H1" s="103"/>
      <c r="I1" s="103"/>
      <c r="J1" s="103"/>
      <c r="K1" s="103"/>
      <c r="L1" s="103"/>
      <c r="M1" s="103"/>
      <c r="N1" s="103"/>
    </row>
    <row r="2" s="103" customFormat="1" ht="12.75" customHeight="1">
      <c r="C2" s="104"/>
    </row>
    <row r="3" s="103" customFormat="1" ht="12.75" customHeight="1">
      <c r="A3" s="105" t="s">
        <v>3238</v>
      </c>
    </row>
    <row r="4" spans="1:13" s="109" customFormat="1" ht="64.5" customHeight="1">
      <c r="A4" s="106" t="s">
        <v>3239</v>
      </c>
      <c r="B4" s="107"/>
      <c r="C4" s="108"/>
      <c r="D4" s="103"/>
      <c r="E4" s="103"/>
      <c r="F4" s="103"/>
      <c r="G4" s="103"/>
      <c r="H4" s="103"/>
      <c r="I4" s="103"/>
      <c r="J4" s="103"/>
      <c r="K4" s="103"/>
      <c r="L4" s="103"/>
      <c r="M4" s="103"/>
    </row>
    <row r="5" s="103" customFormat="1" ht="12.75" customHeight="1">
      <c r="A5" s="105"/>
    </row>
    <row r="6" s="103" customFormat="1" ht="12.75" customHeight="1">
      <c r="A6" s="105" t="s">
        <v>3240</v>
      </c>
    </row>
    <row r="7" spans="1:26" s="107" customFormat="1" ht="65.25" customHeight="1">
      <c r="A7" s="106" t="s">
        <v>3241</v>
      </c>
      <c r="C7" s="108"/>
      <c r="D7" s="103"/>
      <c r="E7" s="103"/>
      <c r="F7" s="103"/>
      <c r="G7" s="103"/>
      <c r="H7" s="103"/>
      <c r="I7" s="103"/>
      <c r="J7" s="103"/>
      <c r="K7" s="103"/>
      <c r="L7" s="103"/>
      <c r="M7" s="103"/>
      <c r="N7" s="109"/>
      <c r="O7" s="109"/>
      <c r="P7" s="109"/>
      <c r="Q7" s="109"/>
      <c r="R7" s="109"/>
      <c r="S7" s="109"/>
      <c r="T7" s="109"/>
      <c r="U7" s="109"/>
      <c r="V7" s="109"/>
      <c r="W7" s="109"/>
      <c r="X7" s="109"/>
      <c r="Y7" s="109"/>
      <c r="Z7" s="109"/>
    </row>
    <row r="8" s="103" customFormat="1" ht="12.75" customHeight="1">
      <c r="A8" s="105"/>
    </row>
    <row r="9" s="103" customFormat="1" ht="12.75" customHeight="1">
      <c r="A9" s="105" t="s">
        <v>3242</v>
      </c>
    </row>
    <row r="10" spans="1:26" s="107" customFormat="1" ht="40.5" customHeight="1">
      <c r="A10" s="106" t="s">
        <v>3243</v>
      </c>
      <c r="C10" s="108"/>
      <c r="D10" s="103"/>
      <c r="E10" s="103"/>
      <c r="F10" s="103"/>
      <c r="G10" s="103"/>
      <c r="H10" s="103"/>
      <c r="I10" s="103"/>
      <c r="J10" s="103"/>
      <c r="K10" s="103"/>
      <c r="L10" s="103"/>
      <c r="M10" s="103"/>
      <c r="N10" s="109"/>
      <c r="O10" s="109"/>
      <c r="P10" s="109"/>
      <c r="Q10" s="109"/>
      <c r="R10" s="109"/>
      <c r="S10" s="109"/>
      <c r="T10" s="109"/>
      <c r="U10" s="109"/>
      <c r="V10" s="109"/>
      <c r="W10" s="109"/>
      <c r="X10" s="109"/>
      <c r="Y10" s="109"/>
      <c r="Z10" s="109"/>
    </row>
    <row r="11" s="103" customFormat="1" ht="12.75" customHeight="1">
      <c r="A11" s="105"/>
    </row>
    <row r="12" s="103" customFormat="1" ht="12.75" customHeight="1">
      <c r="A12" s="105" t="s">
        <v>3244</v>
      </c>
    </row>
    <row r="13" spans="1:26" s="107" customFormat="1" ht="40.5" customHeight="1">
      <c r="A13" s="106" t="s">
        <v>3245</v>
      </c>
      <c r="C13" s="108"/>
      <c r="D13" s="103"/>
      <c r="E13" s="103"/>
      <c r="F13" s="103"/>
      <c r="G13" s="103"/>
      <c r="H13" s="103"/>
      <c r="I13" s="103"/>
      <c r="J13" s="103"/>
      <c r="K13" s="103"/>
      <c r="L13" s="103"/>
      <c r="M13" s="103"/>
      <c r="N13" s="109"/>
      <c r="O13" s="109"/>
      <c r="P13" s="109"/>
      <c r="Q13" s="109"/>
      <c r="R13" s="109"/>
      <c r="S13" s="109"/>
      <c r="T13" s="109"/>
      <c r="U13" s="109"/>
      <c r="V13" s="109"/>
      <c r="W13" s="109"/>
      <c r="X13" s="109"/>
      <c r="Y13" s="109"/>
      <c r="Z13" s="109"/>
    </row>
    <row r="14" s="103" customFormat="1" ht="12.75" customHeight="1">
      <c r="A14" s="105"/>
    </row>
    <row r="15" s="103" customFormat="1" ht="12.75" customHeight="1">
      <c r="A15" s="105" t="s">
        <v>3246</v>
      </c>
    </row>
    <row r="16" spans="1:24" s="103" customFormat="1" ht="28.5" customHeight="1">
      <c r="A16" s="110" t="s">
        <v>3247</v>
      </c>
      <c r="B16" s="102"/>
      <c r="C16" s="102"/>
      <c r="D16" s="102"/>
      <c r="N16" s="102"/>
      <c r="O16" s="102"/>
      <c r="P16" s="102"/>
      <c r="Q16" s="102"/>
      <c r="R16" s="102"/>
      <c r="S16" s="102"/>
      <c r="T16" s="102"/>
      <c r="U16" s="102"/>
      <c r="V16" s="102"/>
      <c r="W16" s="102"/>
      <c r="X16" s="102"/>
    </row>
    <row r="17" spans="1:24" s="103" customFormat="1" ht="12.75" customHeight="1">
      <c r="A17" s="111" t="str">
        <f>cst_SHINSAKAI&amp;"建築審査会"</f>
        <v>尼崎市建築審査会</v>
      </c>
      <c r="B17" s="112"/>
      <c r="C17" s="102"/>
      <c r="D17" s="102"/>
      <c r="N17" s="112"/>
      <c r="O17" s="112"/>
      <c r="P17" s="112"/>
      <c r="Q17" s="112"/>
      <c r="R17" s="112"/>
      <c r="S17" s="112"/>
      <c r="T17" s="112"/>
      <c r="U17" s="112"/>
      <c r="V17" s="112"/>
      <c r="W17" s="112"/>
      <c r="X17" s="112"/>
    </row>
    <row r="18" spans="1:24" s="103" customFormat="1" ht="53.25" customHeight="1">
      <c r="A18" s="110" t="s">
        <v>2962</v>
      </c>
      <c r="B18" s="102"/>
      <c r="C18" s="113"/>
      <c r="D18" s="102"/>
      <c r="N18" s="113"/>
      <c r="O18" s="113"/>
      <c r="P18" s="113"/>
      <c r="Q18" s="113"/>
      <c r="R18" s="113"/>
      <c r="S18" s="113"/>
      <c r="T18" s="113"/>
      <c r="U18" s="113"/>
      <c r="V18" s="113"/>
      <c r="W18" s="113"/>
      <c r="X18" s="113"/>
    </row>
    <row r="19" spans="1:24" s="103" customFormat="1" ht="12.75" customHeight="1">
      <c r="A19" s="111" t="str">
        <f>cst_Suit_config_PRESENTER_CORP</f>
        <v>株式会社近確機構</v>
      </c>
      <c r="B19" s="112"/>
      <c r="C19" s="102"/>
      <c r="D19" s="102"/>
      <c r="N19" s="112"/>
      <c r="O19" s="112"/>
      <c r="P19" s="112"/>
      <c r="Q19" s="112"/>
      <c r="R19" s="112"/>
      <c r="S19" s="112"/>
      <c r="T19" s="112"/>
      <c r="U19" s="112"/>
      <c r="V19" s="112"/>
      <c r="W19" s="112"/>
      <c r="X19" s="112"/>
    </row>
    <row r="20" spans="1:24" s="103" customFormat="1" ht="12.75" customHeight="1">
      <c r="A20" s="114" t="s">
        <v>2963</v>
      </c>
      <c r="B20" s="102"/>
      <c r="C20" s="102"/>
      <c r="D20" s="102"/>
      <c r="N20" s="102"/>
      <c r="O20" s="102"/>
      <c r="P20" s="102"/>
      <c r="Q20" s="102"/>
      <c r="R20" s="102"/>
      <c r="S20" s="102"/>
      <c r="T20" s="102"/>
      <c r="U20" s="102"/>
      <c r="V20" s="102"/>
      <c r="W20" s="102"/>
      <c r="X20" s="102"/>
    </row>
    <row r="21" spans="1:24" s="103" customFormat="1" ht="12.75" customHeight="1">
      <c r="A21" s="111" t="str">
        <f>cst_Suit_config_PRESENTER_CORP</f>
        <v>株式会社近確機構</v>
      </c>
      <c r="B21" s="112"/>
      <c r="C21" s="102"/>
      <c r="D21" s="102"/>
      <c r="N21" s="112"/>
      <c r="O21" s="112"/>
      <c r="P21" s="112"/>
      <c r="Q21" s="112"/>
      <c r="R21" s="112"/>
      <c r="S21" s="112"/>
      <c r="T21" s="112"/>
      <c r="U21" s="112"/>
      <c r="V21" s="112"/>
      <c r="W21" s="112"/>
      <c r="X21" s="112"/>
    </row>
    <row r="22" spans="1:24" s="103" customFormat="1" ht="12.75" customHeight="1">
      <c r="A22" s="114" t="s">
        <v>2964</v>
      </c>
      <c r="B22" s="102"/>
      <c r="C22" s="102"/>
      <c r="D22" s="102"/>
      <c r="N22" s="102"/>
      <c r="O22" s="102"/>
      <c r="P22" s="102"/>
      <c r="Q22" s="102"/>
      <c r="R22" s="102"/>
      <c r="S22" s="102"/>
      <c r="T22" s="102"/>
      <c r="U22" s="102"/>
      <c r="V22" s="102"/>
      <c r="W22" s="102"/>
      <c r="X22" s="102"/>
    </row>
    <row r="23" spans="1:24" s="103" customFormat="1" ht="12.75" customHeight="1">
      <c r="A23" s="111" t="str">
        <f>cst_Suit_config_PRESENTER_DAIHYOSYA</f>
        <v>代表取締役中川秀夫</v>
      </c>
      <c r="B23" s="112"/>
      <c r="C23" s="102"/>
      <c r="D23" s="102"/>
      <c r="N23" s="112"/>
      <c r="O23" s="112"/>
      <c r="P23" s="112"/>
      <c r="Q23" s="112"/>
      <c r="R23" s="112"/>
      <c r="S23" s="112"/>
      <c r="T23" s="112"/>
      <c r="U23" s="112"/>
      <c r="V23" s="112"/>
      <c r="W23" s="112"/>
      <c r="X23" s="112"/>
    </row>
    <row r="24" spans="1:24" s="103" customFormat="1" ht="43.5" customHeight="1">
      <c r="A24" s="110" t="s">
        <v>2965</v>
      </c>
      <c r="B24" s="102"/>
      <c r="C24" s="113"/>
      <c r="D24" s="102"/>
      <c r="N24" s="113"/>
      <c r="O24" s="113"/>
      <c r="P24" s="113"/>
      <c r="Q24" s="113"/>
      <c r="R24" s="113"/>
      <c r="S24" s="113"/>
      <c r="T24" s="113"/>
      <c r="U24" s="113"/>
      <c r="V24" s="113"/>
      <c r="W24" s="113"/>
      <c r="X24" s="113"/>
    </row>
    <row r="25" spans="1:24" s="103" customFormat="1" ht="72.75" customHeight="1">
      <c r="A25" s="110" t="s">
        <v>2966</v>
      </c>
      <c r="B25" s="102"/>
      <c r="C25" s="113"/>
      <c r="D25" s="102"/>
      <c r="N25" s="113"/>
      <c r="O25" s="113"/>
      <c r="P25" s="113"/>
      <c r="Q25" s="113"/>
      <c r="R25" s="113"/>
      <c r="S25" s="113"/>
      <c r="T25" s="113"/>
      <c r="U25" s="113"/>
      <c r="V25" s="113"/>
      <c r="W25" s="113"/>
      <c r="X25" s="113"/>
    </row>
    <row r="26" spans="1:3" s="103" customFormat="1" ht="12.75" customHeight="1">
      <c r="A26" s="105"/>
      <c r="C26" s="104"/>
    </row>
    <row r="27" s="103" customFormat="1" ht="12.75" customHeight="1">
      <c r="A27" s="105" t="s">
        <v>2967</v>
      </c>
    </row>
    <row r="28" spans="1:3" s="103" customFormat="1" ht="168" customHeight="1">
      <c r="A28" s="115" t="str">
        <f>CONCATENATE($A$16,$A$17,$A$18,$A$19,$A$20,$A$21,$A$22,$A$23,$A$24,$A$25)</f>
        <v>　なお、この処分に不服があるときは、この通知を受けた日の翌日から起算して60日以内に尼崎市建築審査会に対して審査請求をすることができます（なお、この通知を受けた日の翌日から起算して60日以内であつても、処分の日から１年を経過すると審査請求をすることができなくなります。）。また、当該審査請求に対する裁決の送達を受けた日の翌日から起算して６か月以内に株式会社近確機構を被告として（訴訟において株式会社近確機構を代表する者は代表取締役中川秀夫となります。）、処分の取消しの訴えを提起することができます（なお、裁決の送達を受けた日の翌日から起算して６か月以内であつても、裁決の日から１年を経過すると処分の取消しの訴えを提起することができなくなります。）。
ただし、当該処分の取消しの訴えは、当該裁決を経た後でなければ、提起することができません（①審査請求があつた日から３か月を経過しても裁決がないとき②処分、処分の執行又は手続の続行により生ずる著しい損害を避けるため緊急の必要があるとき③その他裁決を経ないことにつき正当な理由があるときを除きます。）。</v>
      </c>
      <c r="C28" s="104"/>
    </row>
    <row r="29" s="103" customFormat="1" ht="12.75" customHeight="1">
      <c r="C29" s="104"/>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CCFFCC"/>
  </sheetPr>
  <dimension ref="A1:U101"/>
  <sheetViews>
    <sheetView zoomScalePageLayoutView="0" workbookViewId="0" topLeftCell="A49">
      <selection activeCell="B68" sqref="B68"/>
    </sheetView>
  </sheetViews>
  <sheetFormatPr defaultColWidth="9.33203125" defaultRowHeight="12" customHeight="1"/>
  <cols>
    <col min="1" max="1" width="18.16015625" style="0" customWidth="1"/>
    <col min="2" max="2" width="21.83203125" style="0" customWidth="1"/>
    <col min="3" max="3" width="21.83203125" style="153" customWidth="1"/>
    <col min="4" max="4" width="14.33203125" style="0" customWidth="1"/>
    <col min="5" max="5" width="12.83203125" style="0" customWidth="1"/>
    <col min="6" max="6" width="14" style="0" customWidth="1"/>
    <col min="7" max="21" width="12.83203125" style="0" customWidth="1"/>
  </cols>
  <sheetData>
    <row r="1" ht="12" customHeight="1">
      <c r="A1" t="s">
        <v>3282</v>
      </c>
    </row>
    <row r="3" ht="12" customHeight="1">
      <c r="A3" t="s">
        <v>3283</v>
      </c>
    </row>
    <row r="4" ht="12" customHeight="1">
      <c r="A4" t="s">
        <v>827</v>
      </c>
    </row>
    <row r="5" ht="12" customHeight="1">
      <c r="A5" t="s">
        <v>828</v>
      </c>
    </row>
    <row r="6" ht="12" customHeight="1">
      <c r="A6" t="s">
        <v>1786</v>
      </c>
    </row>
    <row r="9" ht="12" customHeight="1">
      <c r="A9" t="s">
        <v>1787</v>
      </c>
    </row>
    <row r="10" ht="12" customHeight="1">
      <c r="A10" t="s">
        <v>1788</v>
      </c>
    </row>
    <row r="11" ht="12" customHeight="1">
      <c r="A11" t="s">
        <v>1789</v>
      </c>
    </row>
    <row r="12" ht="12" customHeight="1">
      <c r="A12" t="s">
        <v>1790</v>
      </c>
    </row>
    <row r="13" ht="12" customHeight="1">
      <c r="A13" t="s">
        <v>1823</v>
      </c>
    </row>
    <row r="16" ht="12" customHeight="1">
      <c r="A16" t="s">
        <v>1824</v>
      </c>
    </row>
    <row r="17" ht="12" customHeight="1">
      <c r="A17" t="s">
        <v>1825</v>
      </c>
    </row>
    <row r="18" ht="12" customHeight="1">
      <c r="A18" t="s">
        <v>1826</v>
      </c>
    </row>
    <row r="19" ht="12" customHeight="1">
      <c r="A19" t="s">
        <v>1827</v>
      </c>
    </row>
    <row r="20" ht="12" customHeight="1">
      <c r="A20" t="s">
        <v>1828</v>
      </c>
    </row>
    <row r="23" spans="1:4" s="65" customFormat="1" ht="12" customHeight="1">
      <c r="A23" s="65" t="s">
        <v>1829</v>
      </c>
      <c r="B23" s="65" t="s">
        <v>2044</v>
      </c>
      <c r="C23" s="154" t="s">
        <v>1830</v>
      </c>
      <c r="D23" s="154"/>
    </row>
    <row r="24" spans="1:3" s="65" customFormat="1" ht="12" customHeight="1">
      <c r="A24" s="65" t="s">
        <v>1831</v>
      </c>
      <c r="B24" s="155" t="s">
        <v>1322</v>
      </c>
      <c r="C24" s="156" t="str">
        <f>IF(OR(city_ken="",city_city=""),"",city_ken&amp;city_city&amp;city_town&amp;city_street)</f>
        <v>兵庫県尼崎市</v>
      </c>
    </row>
    <row r="25" spans="1:3" s="65" customFormat="1" ht="12" customHeight="1">
      <c r="A25" s="65" t="s">
        <v>1357</v>
      </c>
      <c r="B25" s="65" t="s">
        <v>171</v>
      </c>
      <c r="C25" s="157" t="str">
        <f>cst_city_FIRE_STATION_ID__NAME</f>
        <v>尼崎市消防局</v>
      </c>
    </row>
    <row r="26" spans="1:3" s="65" customFormat="1" ht="12" customHeight="1">
      <c r="A26" s="65" t="s">
        <v>172</v>
      </c>
      <c r="B26" s="65" t="s">
        <v>1603</v>
      </c>
      <c r="C26" s="157" t="str">
        <f>cst_city_FIRE_STATION_ID__DEPART_NAME</f>
        <v>予防担当</v>
      </c>
    </row>
    <row r="27" spans="1:3" s="65" customFormat="1" ht="12" customHeight="1">
      <c r="A27" s="65" t="s">
        <v>1604</v>
      </c>
      <c r="B27" s="67" t="s">
        <v>1605</v>
      </c>
      <c r="C27" s="157" t="str">
        <f>cst_city_FIRE_STATION_ID__DEST_NAME</f>
        <v>消防長</v>
      </c>
    </row>
    <row r="28" spans="1:4" s="65" customFormat="1" ht="12" customHeight="1">
      <c r="A28" s="67" t="s">
        <v>148</v>
      </c>
      <c r="B28" s="65" t="s">
        <v>1323</v>
      </c>
      <c r="C28" s="158" t="str">
        <f>cst_shinsei_INSPECTION_TYPE</f>
        <v>確認</v>
      </c>
      <c r="D28" s="67"/>
    </row>
    <row r="29" spans="1:4" s="65" customFormat="1" ht="12" customHeight="1">
      <c r="A29" s="67" t="s">
        <v>1606</v>
      </c>
      <c r="B29" s="65" t="s">
        <v>3278</v>
      </c>
      <c r="C29" s="158">
        <f>cst_shinsei_build_STAT_HOU6__firestation</f>
        <v>2</v>
      </c>
      <c r="D29" s="67"/>
    </row>
    <row r="30" spans="1:4" s="65" customFormat="1" ht="12" customHeight="1">
      <c r="A30" s="67" t="s">
        <v>1607</v>
      </c>
      <c r="B30" s="65" t="s">
        <v>3279</v>
      </c>
      <c r="C30" s="157" t="str">
        <f>cst_shinsei_build_YOUTO_CODE</f>
        <v>08010</v>
      </c>
      <c r="D30" s="67"/>
    </row>
    <row r="31" spans="1:4" s="65" customFormat="1" ht="12" customHeight="1">
      <c r="A31" s="67" t="s">
        <v>1608</v>
      </c>
      <c r="C31" s="159">
        <f>cst_shinsei_build_NOBE_MENSEKI_BILL_SHINSEI</f>
        <v>112.55</v>
      </c>
      <c r="D31" s="155"/>
    </row>
    <row r="32" spans="1:4" s="65" customFormat="1" ht="12" customHeight="1">
      <c r="A32" s="67"/>
      <c r="B32" s="159"/>
      <c r="C32" s="155"/>
      <c r="D32" s="67"/>
    </row>
    <row r="33" ht="12" customHeight="1">
      <c r="C33" s="160"/>
    </row>
    <row r="34" spans="1:3" ht="12" customHeight="1">
      <c r="A34" t="s">
        <v>1609</v>
      </c>
      <c r="C34" s="160"/>
    </row>
    <row r="35" ht="12" customHeight="1">
      <c r="C35" s="160"/>
    </row>
    <row r="36" ht="12" customHeight="1">
      <c r="C36" s="160"/>
    </row>
    <row r="37" ht="12" customHeight="1">
      <c r="C37" s="160"/>
    </row>
    <row r="38" spans="1:3" ht="12" customHeight="1">
      <c r="A38" t="s">
        <v>1610</v>
      </c>
      <c r="C38" s="160"/>
    </row>
    <row r="39" spans="1:3" ht="12" customHeight="1">
      <c r="A39" s="161" t="s">
        <v>1611</v>
      </c>
      <c r="B39" s="162" t="s">
        <v>1357</v>
      </c>
      <c r="C39" s="163" t="s">
        <v>1365</v>
      </c>
    </row>
    <row r="40" spans="1:4" ht="12" customHeight="1">
      <c r="A40" s="164" t="str">
        <f ca="1">IF(cst_FIRE_IrregularJudge=3,"住所チェック要選択",IF(cst_FIRE_IrregularJudge=2,cst_city_FIRE_STATION_ID__DEST_NAME,IF(cst_FIRE_IrregularJudge=0,"選択してください。",IF(cst_FIRE_ConditionJudge="-","条件：判定不可",IF(cst_FIRE_ConditionJudge=0,cst_city_FIRE_STATION_ID__DEST_NAME,IF(OFFSET(cst_FIRE__base_point,cst_FIRE_CityInfo_Num,cst_FIRE_JoukenMovement+3,1,1)="","",OFFSET(cst_FIRE__base_point,cst_FIRE_CityInfo_Num,cst_FIRE_JoukenMovement+3,1,1)))))))</f>
        <v>消防長</v>
      </c>
      <c r="B40" s="165" t="str">
        <f ca="1">IF(cst_FIRE_IrregularJudge=3,"住所チェック要選択",IF(cst_FIRE_IrregularJudge=2,cst_city_FIRE_STATION_ID__NAME,IF(cst_FIRE_IrregularJudge=0,"選択してください。",IF(cst_FIRE_ConditionJudge="-","条件：判定不可",IF(cst_FIRE_ConditionJudge=0,cst_city_FIRE_STATION_ID__NAME,IF(OFFSET(cst_FIRE__base_point,cst_FIRE_CityInfo_Num,cst_FIRE_JoukenMovement+1,1,1)="","",OFFSET(cst_FIRE__base_point,cst_FIRE_CityInfo_Num,cst_FIRE_JoukenMovement+1,1,1)))))))</f>
        <v>尼崎市消防局</v>
      </c>
      <c r="C40" s="163" t="str">
        <f ca="1">IF(cst_FIRE_IrregularJudge=3,"住所チェック要選択",IF(cst_FIRE_IrregularJudge=2,cst_city_FIRE_STATION_ID__DEPART_NAME,IF(cst_FIRE_IrregularJudge=0,"選択してください。",IF(cst_FIRE_ConditionJudge="-","条件：判定不可",IF(cst_FIRE_ConditionJudge=0,cst_city_FIRE_STATION_ID__DEPART_NAME,IF(OFFSET(cst_FIRE__base_point,cst_FIRE_CityInfo_Num,cst_FIRE_JoukenMovement+2,1,1)="","",OFFSET(cst_FIRE__base_point,cst_FIRE_CityInfo_Num,cst_FIRE_JoukenMovement+2,1,1)))))))</f>
        <v>予防担当</v>
      </c>
      <c r="D40" s="166" t="s">
        <v>1612</v>
      </c>
    </row>
    <row r="41" spans="1:3" ht="12" customHeight="1">
      <c r="A41" s="167">
        <f ca="1">IF(cst_FIRE_IrregularJudge=0,IF(OFFSET(cst_FIRE__base_point,cst_FIRE_CityInfo_Num,cst_FIRE_JoukenMovement+cst_FIRE_ListKanMovement*2,1,1)="","",OFFSET(cst_FIRE__base_point,cst_FIRE_CityInfo_Num,cst_FIRE_JoukenMovement+cst_FIRE_ListKanMovement*2,1,1)),"")</f>
      </c>
      <c r="B41" s="165">
        <f ca="1">IF(cst_FIRE_IrregularJudge=0,IF(OFFSET(cst_FIRE__base_point,cst_FIRE_CityInfo_Num,cst_FIRE_JoukenMovement+cst_FIRE_ListKanMovement*2-2,1,1)="","",OFFSET(cst_FIRE__base_point,cst_FIRE_CityInfo_Num,cst_FIRE_JoukenMovement+cst_FIRE_ListKanMovement*2-2,1,1)),"")</f>
      </c>
      <c r="C41" s="168">
        <f ca="1">IF(cst_FIRE_IrregularJudge=0,IF(OFFSET(cst_FIRE__base_point,cst_FIRE_CityInfo_Num,cst_FIRE_JoukenMovement+cst_FIRE_ListKanMovement*2-1,1,1)="","",OFFSET(cst_FIRE__base_point,cst_FIRE_CityInfo_Num,cst_FIRE_JoukenMovement+cst_FIRE_ListKanMovement*2-1,1,1)),"")</f>
      </c>
    </row>
    <row r="42" spans="1:3" ht="12" customHeight="1">
      <c r="A42" s="167">
        <f ca="1">IF(cst_FIRE_IrregularJudge=0,IF(OFFSET(cst_FIRE__base_point,cst_FIRE_CityInfo_Num,cst_FIRE_JoukenMovement+cst_FIRE_ListKanMovement*3,1,1)="","",OFFSET(cst_FIRE__base_point,cst_FIRE_CityInfo_Num,cst_FIRE_JoukenMovement+cst_FIRE_ListKanMovement*3,1,1)),"")</f>
      </c>
      <c r="B42" s="165">
        <f ca="1">IF(cst_FIRE_IrregularJudge=0,IF(OFFSET(cst_FIRE__base_point,cst_FIRE_CityInfo_Num,cst_FIRE_JoukenMovement+cst_FIRE_ListKanMovement*3-2,1,1)="","",OFFSET(cst_FIRE__base_point,cst_FIRE_CityInfo_Num,cst_FIRE_JoukenMovement+cst_FIRE_ListKanMovement*3-2,1,1)),"")</f>
      </c>
      <c r="C42" s="168">
        <f ca="1">IF(cst_FIRE_IrregularJudge=0,IF(OFFSET(cst_FIRE__base_point,cst_FIRE_CityInfo_Num,cst_FIRE_JoukenMovement+cst_FIRE_ListKanMovement*3-1,1,1)="","",OFFSET(cst_FIRE__base_point,cst_FIRE_CityInfo_Num,cst_FIRE_JoukenMovement+cst_FIRE_ListKanMovement*3-1,1,1)),"")</f>
      </c>
    </row>
    <row r="43" spans="1:3" ht="12" customHeight="1">
      <c r="A43" s="167">
        <f ca="1">IF(cst_FIRE_IrregularJudge=0,IF(OFFSET(cst_FIRE__base_point,cst_FIRE_CityInfo_Num,cst_FIRE_JoukenMovement+cst_FIRE_ListKanMovement*4,1,1)="","",OFFSET(cst_FIRE__base_point,cst_FIRE_CityInfo_Num,cst_FIRE_JoukenMovement+cst_FIRE_ListKanMovement*4,1,1)),"")</f>
      </c>
      <c r="B43" s="165">
        <f ca="1">IF(cst_FIRE_IrregularJudge=0,IF(OFFSET(cst_FIRE__base_point,cst_FIRE_CityInfo_Num,cst_FIRE_JoukenMovement+cst_FIRE_ListKanMovement*4-2,1,1)="","",OFFSET(cst_FIRE__base_point,cst_FIRE_CityInfo_Num,cst_FIRE_JoukenMovement+cst_FIRE_ListKanMovement*4-2,1,1)),"")</f>
      </c>
      <c r="C43" s="168">
        <f ca="1">IF(cst_FIRE_IrregularJudge=0,IF(OFFSET(cst_FIRE__base_point,cst_FIRE_CityInfo_Num,cst_FIRE_JoukenMovement+cst_FIRE_ListKanMovement*4-1,1,1)="","",OFFSET(cst_FIRE__base_point,cst_FIRE_CityInfo_Num,cst_FIRE_JoukenMovement+cst_FIRE_ListKanMovement*4-1,1,1)),"")</f>
      </c>
    </row>
    <row r="44" spans="1:3" ht="12" customHeight="1">
      <c r="A44" s="167">
        <f ca="1">IF(cst_FIRE_IrregularJudge=0,IF(OFFSET(cst_FIRE__base_point,cst_FIRE_CityInfo_Num,cst_FIRE_JoukenMovement+cst_FIRE_ListKanMovement*5,1,1)="","",OFFSET(cst_FIRE__base_point,cst_FIRE_CityInfo_Num,cst_FIRE_JoukenMovement+cst_FIRE_ListKanMovement*5,1,1)),"")</f>
      </c>
      <c r="B44" s="165">
        <f ca="1">IF(cst_FIRE_IrregularJudge=0,IF(OFFSET(cst_FIRE__base_point,cst_FIRE_CityInfo_Num,cst_FIRE_JoukenMovement+cst_FIRE_ListKanMovement*5-2,1,1)="","",OFFSET(cst_FIRE__base_point,cst_FIRE_CityInfo_Num,cst_FIRE_JoukenMovement+cst_FIRE_ListKanMovement*5-2,1,1)),"")</f>
      </c>
      <c r="C44" s="168">
        <f ca="1">IF(cst_FIRE_IrregularJudge=0,IF(OFFSET(cst_FIRE__base_point,cst_FIRE_CityInfo_Num,cst_FIRE_JoukenMovement+cst_FIRE_ListKanMovement*5-1,1,1)="","",OFFSET(cst_FIRE__base_point,cst_FIRE_CityInfo_Num,cst_FIRE_JoukenMovement+cst_FIRE_ListKanMovement*5-1,1,1)),"")</f>
      </c>
    </row>
    <row r="45" spans="1:3" ht="12" customHeight="1">
      <c r="A45" s="167">
        <f ca="1">IF(cst_FIRE_IrregularJudge=0,IF(OFFSET(cst_FIRE__base_point,cst_FIRE_CityInfo_Num,cst_FIRE_JoukenMovement+cst_FIRE_ListKanMovement*6,1,1)="","",OFFSET(cst_FIRE__base_point,cst_FIRE_CityInfo_Num,cst_FIRE_JoukenMovement+cst_FIRE_ListKanMovement*6,1,1)),"")</f>
      </c>
      <c r="B45" s="165">
        <f ca="1">IF(cst_FIRE_IrregularJudge=0,IF(OFFSET(cst_FIRE__base_point,cst_FIRE_CityInfo_Num,cst_FIRE_JoukenMovement+cst_FIRE_ListKanMovement*6-2,1,1)="","",OFFSET(cst_FIRE__base_point,cst_FIRE_CityInfo_Num,cst_FIRE_JoukenMovement+cst_FIRE_ListKanMovement*6-2,1,1)),"")</f>
      </c>
      <c r="C45" s="168">
        <f ca="1">IF(cst_FIRE_IrregularJudge=0,IF(OFFSET(cst_FIRE__base_point,cst_FIRE_CityInfo_Num,cst_FIRE_JoukenMovement+cst_FIRE_ListKanMovement*6-1,1,1)="","",OFFSET(cst_FIRE__base_point,cst_FIRE_CityInfo_Num,cst_FIRE_JoukenMovement+cst_FIRE_ListKanMovement*6-1,1,1)),"")</f>
      </c>
    </row>
    <row r="46" spans="1:3" ht="12" customHeight="1">
      <c r="A46" s="167">
        <f ca="1">IF(cst_FIRE_IrregularJudge=0,IF(OFFSET(cst_FIRE__base_point,cst_FIRE_CityInfo_Num,cst_FIRE_JoukenMovement+cst_FIRE_ListKanMovement*7,1,1)="","",OFFSET(cst_FIRE__base_point,cst_FIRE_CityInfo_Num,cst_FIRE_JoukenMovement+cst_FIRE_ListKanMovement*7,1,1)),"")</f>
      </c>
      <c r="B46" s="165">
        <f ca="1">IF(cst_FIRE_IrregularJudge=0,IF(OFFSET(cst_FIRE__base_point,cst_FIRE_CityInfo_Num,cst_FIRE_JoukenMovement+cst_FIRE_ListKanMovement*7-2,1,1)="","",OFFSET(cst_FIRE__base_point,cst_FIRE_CityInfo_Num,cst_FIRE_JoukenMovement+cst_FIRE_ListKanMovement*7-2,1,1)),"")</f>
      </c>
      <c r="C46" s="168">
        <f ca="1">IF(cst_FIRE_IrregularJudge=0,IF(OFFSET(cst_FIRE__base_point,cst_FIRE_CityInfo_Num,cst_FIRE_JoukenMovement+cst_FIRE_ListKanMovement*7-1,1,1)="","",OFFSET(cst_FIRE__base_point,cst_FIRE_CityInfo_Num,cst_FIRE_JoukenMovement+cst_FIRE_ListKanMovement*7-1,1,1)),"")</f>
      </c>
    </row>
    <row r="47" spans="1:3" ht="12" customHeight="1">
      <c r="A47" s="167">
        <f ca="1">IF(cst_FIRE_IrregularJudge=0,IF(OFFSET(cst_FIRE__base_point,cst_FIRE_CityInfo_Num,cst_FIRE_JoukenMovement+cst_FIRE_ListKanMovement*8,1,1)="","",OFFSET(cst_FIRE__base_point,cst_FIRE_CityInfo_Num,cst_FIRE_JoukenMovement+cst_FIRE_ListKanMovement*8,1,1)),"")</f>
      </c>
      <c r="B47" s="165">
        <f ca="1">IF(cst_FIRE_IrregularJudge=0,IF(OFFSET(cst_FIRE__base_point,cst_FIRE_CityInfo_Num,cst_FIRE_JoukenMovement+cst_FIRE_ListKanMovement*8-2,1,1)="","",OFFSET(cst_FIRE__base_point,cst_FIRE_CityInfo_Num,cst_FIRE_JoukenMovement+cst_FIRE_ListKanMovement*8-2,1,1)),"")</f>
      </c>
      <c r="C47" s="168">
        <f ca="1">IF(cst_FIRE_IrregularJudge=0,IF(OFFSET(cst_FIRE__base_point,cst_FIRE_CityInfo_Num,cst_FIRE_JoukenMovement+cst_FIRE_ListKanMovement*8-1,1,1)="","",OFFSET(cst_FIRE__base_point,cst_FIRE_CityInfo_Num,cst_FIRE_JoukenMovement+cst_FIRE_ListKanMovement*8-1,1,1)),"")</f>
      </c>
    </row>
    <row r="48" ht="12" customHeight="1">
      <c r="C48" s="160"/>
    </row>
    <row r="49" ht="12" customHeight="1">
      <c r="C49" s="160"/>
    </row>
    <row r="50" spans="1:3" ht="12" customHeight="1">
      <c r="A50" s="155" t="s">
        <v>1613</v>
      </c>
      <c r="B50" t="s">
        <v>3280</v>
      </c>
      <c r="C50" s="169"/>
    </row>
    <row r="51" spans="1:3" ht="12" customHeight="1">
      <c r="A51" t="s">
        <v>1614</v>
      </c>
      <c r="B51" t="s">
        <v>3281</v>
      </c>
      <c r="C51" s="169"/>
    </row>
    <row r="52" ht="12" customHeight="1">
      <c r="C52" s="160"/>
    </row>
    <row r="53" spans="1:3" ht="12" customHeight="1">
      <c r="A53" t="s">
        <v>1615</v>
      </c>
      <c r="C53" s="160"/>
    </row>
    <row r="54" spans="1:3" s="65" customFormat="1" ht="12" customHeight="1">
      <c r="A54" s="65" t="s">
        <v>1616</v>
      </c>
      <c r="B54" s="170" t="s">
        <v>1617</v>
      </c>
      <c r="C54" s="171" t="str">
        <f>IF(cst_CityInfo="","CheckError",IF(ISNA(MATCH(cst_CityInfo,cst_FIRE__city_erea,0)),"Error","OK"))</f>
        <v>Error</v>
      </c>
    </row>
    <row r="55" spans="2:7" s="65" customFormat="1" ht="12" customHeight="1">
      <c r="B55" s="155" t="s">
        <v>1618</v>
      </c>
      <c r="C55" s="155"/>
      <c r="G55" s="170"/>
    </row>
    <row r="56" spans="1:3" s="65" customFormat="1" ht="12" customHeight="1">
      <c r="A56" s="65" t="s">
        <v>1619</v>
      </c>
      <c r="B56" s="170" t="s">
        <v>1620</v>
      </c>
      <c r="C56" s="171">
        <f>IF(cst_FIRE_SystemCheck="OK",MATCH(cst_CityInfo,cst_FIRE__city_erea,0),"")</f>
      </c>
    </row>
    <row r="57" spans="2:7" s="65" customFormat="1" ht="12" customHeight="1">
      <c r="B57" s="155" t="s">
        <v>1621</v>
      </c>
      <c r="C57" s="155"/>
      <c r="G57" s="170"/>
    </row>
    <row r="58" spans="1:3" s="65" customFormat="1" ht="12" customHeight="1">
      <c r="A58" s="65" t="s">
        <v>1622</v>
      </c>
      <c r="B58" s="170" t="s">
        <v>1623</v>
      </c>
      <c r="C58" s="171">
        <f ca="1">IF(cst_FIRE_SystemCheck="CheckError",3,IF(cst_FIRE_SystemCheck="Error",2,IF(OFFSET(cst_FIRE__base_point,cst_FIRE_CityInfo_Num,cst_FIRE_JoukenMovement,1,1)="",0,1)))</f>
        <v>2</v>
      </c>
    </row>
    <row r="59" spans="2:7" s="65" customFormat="1" ht="12" customHeight="1">
      <c r="B59" s="155" t="s">
        <v>1624</v>
      </c>
      <c r="C59" s="155"/>
      <c r="G59" s="170"/>
    </row>
    <row r="60" spans="1:3" s="65" customFormat="1" ht="12" customHeight="1">
      <c r="A60" s="65" t="s">
        <v>1625</v>
      </c>
      <c r="B60" s="170" t="s">
        <v>1626</v>
      </c>
      <c r="C60" s="171">
        <f ca="1">IF(cst_FIRE_IrregularJudge=1,OFFSET(cst_FIRE__base_point,cst_FIRE_CityInfo_Num,cst_FIRE_JoukenMovement,1,1),"")</f>
      </c>
    </row>
    <row r="61" spans="2:7" s="65" customFormat="1" ht="12" customHeight="1">
      <c r="B61" s="155" t="s">
        <v>1627</v>
      </c>
      <c r="C61" s="155"/>
      <c r="G61" s="170"/>
    </row>
    <row r="62" spans="1:3" s="65" customFormat="1" ht="12" customHeight="1">
      <c r="A62" s="65" t="s">
        <v>1628</v>
      </c>
      <c r="B62" s="172" t="s">
        <v>1629</v>
      </c>
      <c r="C62" s="173">
        <v>2</v>
      </c>
    </row>
    <row r="63" spans="1:3" s="65" customFormat="1" ht="12" customHeight="1">
      <c r="A63" s="65" t="s">
        <v>1630</v>
      </c>
      <c r="B63" s="172" t="s">
        <v>1631</v>
      </c>
      <c r="C63" s="173">
        <v>3</v>
      </c>
    </row>
    <row r="64" spans="1:3" s="65" customFormat="1" ht="12" customHeight="1">
      <c r="A64" s="65" t="s">
        <v>1632</v>
      </c>
      <c r="B64" s="172" t="s">
        <v>1633</v>
      </c>
      <c r="C64" s="173">
        <v>1</v>
      </c>
    </row>
    <row r="65" spans="1:3" s="67" customFormat="1" ht="12" customHeight="1">
      <c r="A65" s="67" t="s">
        <v>1634</v>
      </c>
      <c r="B65" s="174"/>
      <c r="C65" s="175"/>
    </row>
    <row r="66" spans="1:3" s="65" customFormat="1" ht="12" customHeight="1">
      <c r="A66" s="155" t="s">
        <v>1635</v>
      </c>
      <c r="B66" s="155" t="s">
        <v>1636</v>
      </c>
      <c r="C66" s="176" t="str">
        <f ca="1">IF(cst_FIRE_IrregularJudge=3,"",IF(cst_FIRE_IrregularJudge=2,OFFSET(cst_FIRE_CombList_Point,0,1,1,1),IF(cst_FIRE_IrregularJudge=0,IF(cst_FIRE_CombList_value=1,"",OFFSET(cst_FIRE_CombList_Point,cst_FIRE_CombList_value-1,1,1,1)),IF(cst_FIRE_ConditionJudge="-","",IF(cst_FIRE_ConditionJudge=0,OFFSET(cst_FIRE_CombList_Point,0,1,1,1),IF(OFFSET(cst_FIRE__base_point,cst_FIRE_CityInfo_Num,cst_FIRE_JoukenMovement+1,1,1)="","",OFFSET(cst_FIRE__base_point,cst_FIRE_CityInfo_Num,cst_FIRE_JoukenMovement+1,1,1)))))))</f>
        <v>尼崎市消防局</v>
      </c>
    </row>
    <row r="67" spans="1:3" s="65" customFormat="1" ht="12" customHeight="1">
      <c r="A67" s="155"/>
      <c r="B67" s="155" t="s">
        <v>1637</v>
      </c>
      <c r="C67" s="176" t="str">
        <f ca="1">IF(cst_FIRE_IrregularJudge=3,"消防長様",IF(cst_FIRE_IrregularJudge=2,OFFSET(cst_FIRE_CombList_Point,0,0,1,1)&amp;"様",IF(cst_FIRE_IrregularJudge=0,IF(cst_FIRE_CombList_value=1,"消防長様",OFFSET(cst_FIRE_CombList_Point,cst_FIRE_CombList_value-1,0,1,1)&amp;"様"),IF(cst_FIRE_ConditionJudge="-","消防長様",IF(cst_FIRE_ConditionJudge=0,OFFSET(cst_FIRE_CombList_Point,0,0,1,1)&amp;"様",IF(OFFSET(cst_FIRE__base_point,cst_FIRE_CityInfo_Num,cst_FIRE_JoukenMovement+3,1,1)="","消防長様",OFFSET(cst_FIRE__base_point,cst_FIRE_CityInfo_Num,cst_FIRE_JoukenMovement+3,1,1)&amp;"様"))))))</f>
        <v>消防長様</v>
      </c>
    </row>
    <row r="68" spans="2:3" s="65" customFormat="1" ht="12" customHeight="1">
      <c r="B68" s="65" t="s">
        <v>1638</v>
      </c>
      <c r="C68" s="177" t="str">
        <f>IF(cst_city_FIRE_STATION_ID__DEST_NAME_Decision="","",SUBSTITUTE(cst_city_FIRE_STATION_ID__DEST_NAME_Decision,"　",CHAR(10)&amp;CHAR(10)))</f>
        <v>消防長様</v>
      </c>
    </row>
    <row r="69" s="65" customFormat="1" ht="12" customHeight="1">
      <c r="C69" s="155"/>
    </row>
    <row r="70" spans="1:3" ht="12" customHeight="1">
      <c r="A70" t="s">
        <v>1639</v>
      </c>
      <c r="C70" s="160"/>
    </row>
    <row r="71" spans="1:2" s="179" customFormat="1" ht="12" customHeight="1">
      <c r="A71" s="178"/>
      <c r="B71" s="178"/>
    </row>
    <row r="72" spans="1:21" ht="12" customHeight="1">
      <c r="A72" s="180"/>
      <c r="B72" s="181" t="s">
        <v>1640</v>
      </c>
      <c r="C72" s="562" t="s">
        <v>1481</v>
      </c>
      <c r="D72" s="564" t="s">
        <v>1481</v>
      </c>
      <c r="E72" s="565"/>
      <c r="F72" s="566"/>
      <c r="G72" s="564" t="s">
        <v>1482</v>
      </c>
      <c r="H72" s="565"/>
      <c r="I72" s="566"/>
      <c r="J72" s="564" t="s">
        <v>1483</v>
      </c>
      <c r="K72" s="565"/>
      <c r="L72" s="566"/>
      <c r="M72" s="564" t="s">
        <v>1484</v>
      </c>
      <c r="N72" s="565"/>
      <c r="O72" s="566"/>
      <c r="P72" s="564" t="s">
        <v>1485</v>
      </c>
      <c r="Q72" s="565"/>
      <c r="R72" s="566"/>
      <c r="S72" s="564" t="s">
        <v>1486</v>
      </c>
      <c r="T72" s="565"/>
      <c r="U72" s="566"/>
    </row>
    <row r="73" spans="1:21" ht="12" customHeight="1">
      <c r="A73" s="182">
        <f>ROW()</f>
        <v>73</v>
      </c>
      <c r="B73" s="183"/>
      <c r="C73" s="563"/>
      <c r="D73" s="184" t="s">
        <v>1357</v>
      </c>
      <c r="E73" s="184" t="s">
        <v>1487</v>
      </c>
      <c r="F73" s="184" t="s">
        <v>1611</v>
      </c>
      <c r="G73" s="184" t="s">
        <v>1357</v>
      </c>
      <c r="H73" s="184" t="s">
        <v>1487</v>
      </c>
      <c r="I73" s="184" t="s">
        <v>1611</v>
      </c>
      <c r="J73" s="184" t="s">
        <v>1357</v>
      </c>
      <c r="K73" s="184" t="s">
        <v>1487</v>
      </c>
      <c r="L73" s="184" t="s">
        <v>1611</v>
      </c>
      <c r="M73" s="184" t="s">
        <v>1357</v>
      </c>
      <c r="N73" s="184" t="s">
        <v>1487</v>
      </c>
      <c r="O73" s="184" t="s">
        <v>1611</v>
      </c>
      <c r="P73" s="184" t="s">
        <v>1357</v>
      </c>
      <c r="Q73" s="184" t="s">
        <v>1487</v>
      </c>
      <c r="R73" s="184" t="s">
        <v>1611</v>
      </c>
      <c r="S73" s="184" t="s">
        <v>1357</v>
      </c>
      <c r="T73" s="184" t="s">
        <v>1487</v>
      </c>
      <c r="U73" s="184" t="s">
        <v>1611</v>
      </c>
    </row>
    <row r="74" spans="1:21" ht="12" customHeight="1">
      <c r="A74" s="153">
        <v>1</v>
      </c>
      <c r="B74" s="185"/>
      <c r="C74" s="186" t="s">
        <v>1488</v>
      </c>
      <c r="D74" s="154"/>
      <c r="E74" s="154"/>
      <c r="F74" s="154"/>
      <c r="G74" s="154"/>
      <c r="H74" s="154"/>
      <c r="I74" s="154"/>
      <c r="J74" s="154"/>
      <c r="K74" s="154"/>
      <c r="L74" s="154"/>
      <c r="M74" s="154"/>
      <c r="N74" s="154"/>
      <c r="O74" s="154"/>
      <c r="P74" s="154"/>
      <c r="Q74" s="154"/>
      <c r="R74" s="154"/>
      <c r="S74" s="154"/>
      <c r="T74" s="154"/>
      <c r="U74" s="154"/>
    </row>
    <row r="75" spans="1:6" ht="12" customHeight="1">
      <c r="A75" s="153">
        <v>2</v>
      </c>
      <c r="B75" s="185" t="s">
        <v>1489</v>
      </c>
      <c r="C75" s="187">
        <f aca="true" t="shared" si="0" ref="C75:C85">IF(shinsei_build_YOUTO_CODE="","-",IF(OR(shinsei_build_YOUTO_CODE=8010,shinsei_build_YOUTO_CODE="08010",shinsei_build_YOUTO_CODE=8020,shinsei_build_YOUTO_CODE="08020",),1,0))</f>
        <v>1</v>
      </c>
      <c r="D75" t="s">
        <v>1490</v>
      </c>
      <c r="F75" t="s">
        <v>1734</v>
      </c>
    </row>
    <row r="76" spans="1:6" ht="12" customHeight="1">
      <c r="A76" s="153">
        <v>3</v>
      </c>
      <c r="B76" s="185" t="s">
        <v>1491</v>
      </c>
      <c r="C76" s="187">
        <f t="shared" si="0"/>
        <v>1</v>
      </c>
      <c r="D76" t="s">
        <v>1490</v>
      </c>
      <c r="F76" t="s">
        <v>1734</v>
      </c>
    </row>
    <row r="77" spans="1:6" ht="12" customHeight="1">
      <c r="A77" s="153">
        <v>4</v>
      </c>
      <c r="B77" s="185" t="s">
        <v>1492</v>
      </c>
      <c r="C77" s="187">
        <f t="shared" si="0"/>
        <v>1</v>
      </c>
      <c r="D77" t="s">
        <v>1490</v>
      </c>
      <c r="F77" t="s">
        <v>1734</v>
      </c>
    </row>
    <row r="78" spans="1:6" ht="12" customHeight="1">
      <c r="A78" s="153">
        <v>5</v>
      </c>
      <c r="B78" s="185" t="s">
        <v>1493</v>
      </c>
      <c r="C78" s="187">
        <f t="shared" si="0"/>
        <v>1</v>
      </c>
      <c r="D78" t="s">
        <v>1490</v>
      </c>
      <c r="F78" t="s">
        <v>1734</v>
      </c>
    </row>
    <row r="79" spans="1:6" ht="12" customHeight="1">
      <c r="A79" s="153">
        <v>6</v>
      </c>
      <c r="B79" s="185" t="s">
        <v>2875</v>
      </c>
      <c r="C79" s="187">
        <f t="shared" si="0"/>
        <v>1</v>
      </c>
      <c r="D79" t="s">
        <v>1490</v>
      </c>
      <c r="F79" t="s">
        <v>1734</v>
      </c>
    </row>
    <row r="80" spans="1:6" ht="12" customHeight="1">
      <c r="A80" s="153">
        <v>7</v>
      </c>
      <c r="B80" s="185" t="s">
        <v>2876</v>
      </c>
      <c r="C80" s="187">
        <f t="shared" si="0"/>
        <v>1</v>
      </c>
      <c r="D80" t="s">
        <v>1490</v>
      </c>
      <c r="F80" t="s">
        <v>1734</v>
      </c>
    </row>
    <row r="81" spans="1:6" ht="12" customHeight="1">
      <c r="A81" s="153">
        <v>8</v>
      </c>
      <c r="B81" s="185" t="s">
        <v>1460</v>
      </c>
      <c r="C81" s="187">
        <f t="shared" si="0"/>
        <v>1</v>
      </c>
      <c r="D81" t="s">
        <v>1490</v>
      </c>
      <c r="F81" t="s">
        <v>1734</v>
      </c>
    </row>
    <row r="82" spans="1:6" ht="12" customHeight="1">
      <c r="A82" s="153">
        <v>9</v>
      </c>
      <c r="B82" s="185" t="s">
        <v>1461</v>
      </c>
      <c r="C82" s="187">
        <f t="shared" si="0"/>
        <v>1</v>
      </c>
      <c r="D82" t="s">
        <v>1490</v>
      </c>
      <c r="F82" t="s">
        <v>1734</v>
      </c>
    </row>
    <row r="83" spans="1:6" ht="12" customHeight="1">
      <c r="A83" s="153">
        <v>10</v>
      </c>
      <c r="B83" s="185" t="s">
        <v>1462</v>
      </c>
      <c r="C83" s="187">
        <f t="shared" si="0"/>
        <v>1</v>
      </c>
      <c r="D83" t="s">
        <v>1490</v>
      </c>
      <c r="F83" t="s">
        <v>1734</v>
      </c>
    </row>
    <row r="84" spans="1:6" ht="12" customHeight="1">
      <c r="A84" s="153">
        <v>11</v>
      </c>
      <c r="B84" s="185" t="s">
        <v>1463</v>
      </c>
      <c r="C84" s="187">
        <f t="shared" si="0"/>
        <v>1</v>
      </c>
      <c r="D84" t="s">
        <v>1490</v>
      </c>
      <c r="F84" t="s">
        <v>1734</v>
      </c>
    </row>
    <row r="85" spans="1:6" ht="12" customHeight="1">
      <c r="A85" s="153">
        <v>12</v>
      </c>
      <c r="B85" s="185" t="s">
        <v>1464</v>
      </c>
      <c r="C85" s="187">
        <f t="shared" si="0"/>
        <v>1</v>
      </c>
      <c r="D85" t="s">
        <v>1490</v>
      </c>
      <c r="F85" t="s">
        <v>1734</v>
      </c>
    </row>
    <row r="86" spans="1:2" ht="12" customHeight="1">
      <c r="A86" s="153">
        <v>13</v>
      </c>
      <c r="B86" s="185"/>
    </row>
    <row r="87" spans="1:3" ht="12" customHeight="1">
      <c r="A87" s="153">
        <v>14</v>
      </c>
      <c r="B87" s="185"/>
      <c r="C87" s="188" t="s">
        <v>1465</v>
      </c>
    </row>
    <row r="88" spans="1:6" ht="12" customHeight="1">
      <c r="A88" s="153">
        <v>15</v>
      </c>
      <c r="B88" s="185" t="s">
        <v>2251</v>
      </c>
      <c r="C88" s="187">
        <f>IF(shinsei_INSPECTION_TYPE="計画変更",0,IF(OR(cst_shinsei_build_STAT_HOU6__firestation="",shinsei_build_NOBE_MENSEKI_BILL_SHINSEI=""),"-",IF(OR(cst_shinsei_build_STAT_HOU6__firestation=4,shinsei_build_NOBE_MENSEKI_BILL_SHINSEI&gt;=3000),1,0)))</f>
        <v>0</v>
      </c>
      <c r="D88" t="s">
        <v>2252</v>
      </c>
      <c r="F88" t="s">
        <v>2493</v>
      </c>
    </row>
    <row r="89" spans="1:2" ht="12" customHeight="1">
      <c r="A89" s="153">
        <v>16</v>
      </c>
      <c r="B89" s="185"/>
    </row>
    <row r="90" spans="1:2" ht="12" customHeight="1">
      <c r="A90" s="153">
        <v>17</v>
      </c>
      <c r="B90" s="185"/>
    </row>
    <row r="91" spans="1:2" ht="12" customHeight="1">
      <c r="A91" s="153">
        <v>18</v>
      </c>
      <c r="B91" s="185"/>
    </row>
    <row r="92" spans="1:2" ht="12" customHeight="1">
      <c r="A92" s="153">
        <v>19</v>
      </c>
      <c r="B92" s="185"/>
    </row>
    <row r="93" spans="1:2" ht="12" customHeight="1">
      <c r="A93" s="153">
        <v>20</v>
      </c>
      <c r="B93" s="185"/>
    </row>
    <row r="94" spans="1:2" ht="12" customHeight="1">
      <c r="A94" s="153">
        <v>21</v>
      </c>
      <c r="B94" s="185"/>
    </row>
    <row r="95" spans="1:2" ht="12" customHeight="1">
      <c r="A95" s="153">
        <v>22</v>
      </c>
      <c r="B95" s="185"/>
    </row>
    <row r="96" spans="1:2" ht="12" customHeight="1">
      <c r="A96" s="153">
        <v>23</v>
      </c>
      <c r="B96" s="185"/>
    </row>
    <row r="97" spans="1:2" ht="12" customHeight="1">
      <c r="A97" s="153">
        <v>24</v>
      </c>
      <c r="B97" s="185"/>
    </row>
    <row r="98" spans="1:2" ht="12" customHeight="1">
      <c r="A98" s="153">
        <v>25</v>
      </c>
      <c r="B98" s="185"/>
    </row>
    <row r="99" spans="1:2" ht="12" customHeight="1">
      <c r="A99" s="153">
        <v>26</v>
      </c>
      <c r="B99" s="185"/>
    </row>
    <row r="100" spans="1:2" ht="12" customHeight="1">
      <c r="A100" s="153">
        <v>27</v>
      </c>
      <c r="B100" s="189"/>
    </row>
    <row r="101" ht="12" customHeight="1">
      <c r="A101" s="188"/>
    </row>
  </sheetData>
  <sheetProtection/>
  <mergeCells count="7">
    <mergeCell ref="C72:C73"/>
    <mergeCell ref="S72:U72"/>
    <mergeCell ref="P72:R72"/>
    <mergeCell ref="M72:O72"/>
    <mergeCell ref="J72:L72"/>
    <mergeCell ref="G72:I72"/>
    <mergeCell ref="D72:F72"/>
  </mergeCells>
  <printOptions/>
  <pageMargins left="0.7" right="0.7" top="0.75" bottom="0.75" header="0.3" footer="0.3"/>
  <pageSetup horizontalDpi="600" verticalDpi="600" orientation="portrait" paperSize="9" r:id="rId2"/>
  <legacyDrawing r:id="rId1"/>
</worksheet>
</file>

<file path=xl/worksheets/sheet8.xml><?xml version="1.0" encoding="utf-8"?>
<worksheet xmlns="http://schemas.openxmlformats.org/spreadsheetml/2006/main" xmlns:r="http://schemas.openxmlformats.org/officeDocument/2006/relationships">
  <sheetPr>
    <tabColor rgb="FFCCFFCC"/>
    <pageSetUpPr fitToPage="1"/>
  </sheetPr>
  <dimension ref="A2:K241"/>
  <sheetViews>
    <sheetView zoomScalePageLayoutView="0" workbookViewId="0" topLeftCell="A193">
      <selection activeCell="H227" sqref="H227"/>
    </sheetView>
  </sheetViews>
  <sheetFormatPr defaultColWidth="12.83203125" defaultRowHeight="11.25"/>
  <cols>
    <col min="1" max="1" width="5.83203125" style="222" customWidth="1"/>
    <col min="2" max="2" width="5.83203125" style="213" customWidth="1"/>
    <col min="3" max="3" width="30" style="237" customWidth="1"/>
    <col min="4" max="4" width="11" style="335" customWidth="1"/>
    <col min="5" max="5" width="16.83203125" style="336" customWidth="1"/>
    <col min="6" max="6" width="16.83203125" style="222" customWidth="1"/>
    <col min="7" max="7" width="19.33203125" style="222" customWidth="1"/>
    <col min="8" max="9" width="16.83203125" style="222" customWidth="1"/>
    <col min="10" max="10" width="3.83203125" style="222" customWidth="1"/>
    <col min="11" max="11" width="16.83203125" style="222" customWidth="1"/>
    <col min="12" max="18" width="3.83203125" style="222" customWidth="1"/>
    <col min="19" max="16384" width="12.83203125" style="222" customWidth="1"/>
  </cols>
  <sheetData>
    <row r="2" spans="1:3" s="55" customFormat="1" ht="12">
      <c r="A2" s="328" t="s">
        <v>2174</v>
      </c>
      <c r="B2" s="328"/>
      <c r="C2" s="328"/>
    </row>
    <row r="3" spans="1:7" s="55" customFormat="1" ht="12">
      <c r="A3" s="330"/>
      <c r="B3" s="331"/>
      <c r="F3" s="332"/>
      <c r="G3" s="332"/>
    </row>
    <row r="4" spans="2:5" s="55" customFormat="1" ht="12">
      <c r="B4" s="308" t="s">
        <v>2175</v>
      </c>
      <c r="D4" s="55" t="s">
        <v>2602</v>
      </c>
      <c r="E4" s="380">
        <f>cst_shinsei_STRUCTRESULT_NOTIFY_KOUFU_NAME</f>
      </c>
    </row>
    <row r="5" spans="1:7" s="55" customFormat="1" ht="12">
      <c r="A5" s="330"/>
      <c r="B5" s="331" t="s">
        <v>164</v>
      </c>
      <c r="D5" s="55" t="s">
        <v>165</v>
      </c>
      <c r="E5" s="380">
        <f>shinsei_TEKIHAN_KIKAN_CODE</f>
        <v>0</v>
      </c>
      <c r="F5" s="332"/>
      <c r="G5" s="332"/>
    </row>
    <row r="6" spans="1:7" s="55" customFormat="1" ht="12">
      <c r="A6" s="330"/>
      <c r="B6" s="331"/>
      <c r="F6" s="332"/>
      <c r="G6" s="332"/>
    </row>
    <row r="7" spans="2:6" s="329" customFormat="1" ht="12">
      <c r="B7" s="329" t="s">
        <v>159</v>
      </c>
      <c r="C7" s="332"/>
      <c r="E7" s="339"/>
      <c r="F7" s="332"/>
    </row>
    <row r="8" spans="3:6" s="329" customFormat="1" ht="12">
      <c r="C8" s="332"/>
      <c r="E8" s="339"/>
      <c r="F8" s="332"/>
    </row>
    <row r="9" spans="2:6" s="329" customFormat="1" ht="12">
      <c r="B9" s="329" t="s">
        <v>2804</v>
      </c>
      <c r="C9" s="332"/>
      <c r="D9" s="361" t="s">
        <v>2805</v>
      </c>
      <c r="E9" s="339"/>
      <c r="F9" s="332"/>
    </row>
    <row r="10" spans="2:6" s="329" customFormat="1" ht="12">
      <c r="B10" s="329" t="s">
        <v>2806</v>
      </c>
      <c r="C10" s="332"/>
      <c r="D10" s="362" t="s">
        <v>2807</v>
      </c>
      <c r="E10" s="339"/>
      <c r="F10" s="332"/>
    </row>
    <row r="11" spans="3:6" s="329" customFormat="1" ht="12">
      <c r="C11" s="332"/>
      <c r="E11" s="339"/>
      <c r="F11" s="332"/>
    </row>
    <row r="12" spans="2:7" s="329" customFormat="1" ht="12">
      <c r="B12" s="332" t="s">
        <v>158</v>
      </c>
      <c r="C12" s="332"/>
      <c r="E12" s="339"/>
      <c r="F12" s="332" t="s">
        <v>162</v>
      </c>
      <c r="G12" s="377">
        <f>IF(ISERROR(INDEX(cst_JUDGE_OFFICE__erea__SIGN,MATCH(shinsei_TEKIHAN_KIKAN_CODE,cst_JUDGE_OFFICE__erea__SEARCH_VALUE,0))),"","cst_JUDGE_OFFICE_date_erea__"&amp;INDEX(cst_JUDGE_OFFICE__erea__SIGN,MATCH(shinsei_TEKIHAN_KIKAN_CODE,cst_JUDGE_OFFICE__erea__SEARCH_VALUE,0)))</f>
      </c>
    </row>
    <row r="13" spans="2:7" s="329" customFormat="1" ht="12">
      <c r="B13" s="329" t="s">
        <v>160</v>
      </c>
      <c r="C13" s="332"/>
      <c r="E13" s="339"/>
      <c r="F13" s="332" t="s">
        <v>163</v>
      </c>
      <c r="G13" s="377">
        <f>IF(ISERROR(INDEX(cst_JUDGE_OFFICE__erea__SIGN,MATCH(shinsei_TEKIHAN_KIKAN_CODE,cst_JUDGE_OFFICE__erea__SEARCH_VALUE,0))),"","cst_JUDGE_OFFICE_"&amp;INDEX(cst_JUDGE_OFFICE__erea__SIGN,MATCH(shinsei_TEKIHAN_KIKAN_CODE,cst_JUDGE_OFFICE__erea__SEARCH_VALUE,0)))</f>
      </c>
    </row>
    <row r="14" spans="2:7" s="329" customFormat="1" ht="12">
      <c r="B14" s="329" t="s">
        <v>161</v>
      </c>
      <c r="C14" s="332"/>
      <c r="E14" s="339"/>
      <c r="F14" s="332" t="s">
        <v>1851</v>
      </c>
      <c r="G14" s="361">
        <f ca="1">IF(cst_JUDGE_OFFICE_READ___base_point="",cst_shinsei_STRUCTRESULT_NOTIFY_KOUFU_NAME,IF(OFFSET(INDIRECT(cst_JUDGE_OFFICE_READ___base_point),0,0,1,1)="",cst_shinsei_STRUCTRESULT_NOTIFY_KOUFU_NAME,OFFSET(INDIRECT(cst_JUDGE_OFFICE_READ___base_point),0,0,1,1)))</f>
      </c>
    </row>
    <row r="15" spans="3:6" s="329" customFormat="1" ht="12">
      <c r="C15" s="332"/>
      <c r="E15" s="339"/>
      <c r="F15" s="332"/>
    </row>
    <row r="16" spans="1:7" s="55" customFormat="1" ht="12">
      <c r="A16" s="330">
        <v>1</v>
      </c>
      <c r="B16" s="331" t="s">
        <v>2176</v>
      </c>
      <c r="G16" s="378">
        <f ca="1">IF(shinsei_STRPROVO_NOTIFY_DATE="",TODAY(),shinsei_STRPROVO_NOTIFY_DATE)</f>
        <v>42671</v>
      </c>
    </row>
    <row r="17" spans="1:7" s="55" customFormat="1" ht="12">
      <c r="A17" s="330"/>
      <c r="B17" s="331" t="s">
        <v>2177</v>
      </c>
      <c r="F17" s="332" t="s">
        <v>2603</v>
      </c>
      <c r="G17" s="361">
        <f ca="1">IF(cst_JUDGE_OFFICE_READ___base_point="","",IF(OFFSET(INDIRECT(cst_JUDGE_OFFICE_READ___base_point),MATCH(G16,INDIRECT(cst_JUDGE_OFFICE_READ___date_erea),1)-1,3,1,1)="","",OFFSET(INDIRECT(cst_JUDGE_OFFICE_READ___base_point),MATCH(G16,INDIRECT(cst_JUDGE_OFFICE_READ___date_erea),1)-1,3,1,1)))</f>
      </c>
    </row>
    <row r="18" spans="1:7" s="55" customFormat="1" ht="12">
      <c r="A18" s="330"/>
      <c r="B18" s="331" t="s">
        <v>959</v>
      </c>
      <c r="F18" s="332" t="s">
        <v>2604</v>
      </c>
      <c r="G18" s="377" t="str">
        <f>cst_JUDGE_OFFICE_CORP&amp;IF(cst_JUDGE_OFFICE_DAIHYOUSHA__jizentuuti="","御中","  "&amp;cst_JUDGE_OFFICE_DAIHYOUSHA__jizentuuti&amp;" 様")</f>
        <v>御中</v>
      </c>
    </row>
    <row r="19" spans="1:7" s="55" customFormat="1" ht="36" customHeight="1">
      <c r="A19" s="330"/>
      <c r="B19" s="333" t="s">
        <v>960</v>
      </c>
      <c r="F19" s="332" t="s">
        <v>2605</v>
      </c>
      <c r="G19" s="379" t="str">
        <f>cst_JUDGE_OFFICE_CORP&amp;IF(cst_JUDGE_OFFICE_DAIHYOUSHA__jizentuuti="","御中",CHAR(10)&amp;cst_JUDGE_OFFICE_DAIHYOUSHA__jizentuuti&amp;" 様")</f>
        <v>御中</v>
      </c>
    </row>
    <row r="20" spans="1:7" s="55" customFormat="1" ht="12">
      <c r="A20" s="330"/>
      <c r="B20" s="331" t="s">
        <v>961</v>
      </c>
      <c r="F20" s="332" t="s">
        <v>2606</v>
      </c>
      <c r="G20" s="361">
        <f ca="1">IF(cst_JUDGE_OFFICE_READ___base_point="","",IF(OFFSET(INDIRECT(cst_JUDGE_OFFICE_READ___base_point),MATCH(G16,INDIRECT(cst_JUDGE_OFFICE_READ___date_erea),1)-1,4,1,1)="","",OFFSET(INDIRECT(cst_JUDGE_OFFICE_READ___base_point),MATCH(G16,INDIRECT(cst_JUDGE_OFFICE_READ___date_erea),1)-1,4,1,1)))</f>
      </c>
    </row>
    <row r="21" spans="1:7" s="55" customFormat="1" ht="12">
      <c r="A21" s="330"/>
      <c r="B21" s="331" t="s">
        <v>962</v>
      </c>
      <c r="F21" s="332" t="s">
        <v>2607</v>
      </c>
      <c r="G21" s="377" t="str">
        <f>cst_JUDGE_OFFICE_CORP&amp;IF(cst_JUDGE_OFFICE_KOUZOUSEKININSHA__jizentuuti="","御中","  "&amp;cst_JUDGE_OFFICE_KOUZOUSEKININSHA__jizentuuti&amp;" 様")</f>
        <v>御中</v>
      </c>
    </row>
    <row r="22" spans="1:7" s="55" customFormat="1" ht="36" customHeight="1">
      <c r="A22" s="330"/>
      <c r="B22" s="333" t="s">
        <v>963</v>
      </c>
      <c r="F22" s="332" t="s">
        <v>2608</v>
      </c>
      <c r="G22" s="379" t="str">
        <f>cst_JUDGE_OFFICE_CORP&amp;IF(cst_JUDGE_OFFICE_KOUZOUSEKININSHA__jizentuuti="","御中",CHAR(10)&amp;cst_JUDGE_OFFICE_KOUZOUSEKININSHA__jizentuuti&amp;" 様")</f>
        <v>御中</v>
      </c>
    </row>
    <row r="23" spans="1:7" s="55" customFormat="1" ht="12">
      <c r="A23" s="330"/>
      <c r="B23" s="331"/>
      <c r="F23" s="332"/>
      <c r="G23" s="332"/>
    </row>
    <row r="24" spans="1:7" s="55" customFormat="1" ht="12">
      <c r="A24" s="330">
        <v>2</v>
      </c>
      <c r="B24" s="331" t="s">
        <v>2795</v>
      </c>
      <c r="G24" s="378">
        <f ca="1">IF(shinsei_STRIRAI_DATE="",TODAY(),shinsei_STRIRAI_DATE)</f>
        <v>42671</v>
      </c>
    </row>
    <row r="25" spans="1:7" s="55" customFormat="1" ht="12">
      <c r="A25" s="330"/>
      <c r="B25" s="331" t="s">
        <v>2177</v>
      </c>
      <c r="F25" s="332" t="s">
        <v>2609</v>
      </c>
      <c r="G25" s="361">
        <f ca="1">IF(cst_JUDGE_OFFICE_READ___base_point="","",IF(OFFSET(INDIRECT(cst_JUDGE_OFFICE_READ___base_point),MATCH(G24,INDIRECT(cst_JUDGE_OFFICE_READ___date_erea),1)-1,3,1,1)="","",OFFSET(INDIRECT(cst_JUDGE_OFFICE_READ___base_point),MATCH(G24,INDIRECT(cst_JUDGE_OFFICE_READ___date_erea),1)-1,3,1,1)))</f>
      </c>
    </row>
    <row r="26" spans="1:7" s="55" customFormat="1" ht="12">
      <c r="A26" s="330"/>
      <c r="B26" s="331" t="s">
        <v>959</v>
      </c>
      <c r="F26" s="332" t="s">
        <v>2610</v>
      </c>
      <c r="G26" s="377" t="str">
        <f>cst_JUDGE_OFFICE_CORP&amp;IF(cst_JUDGE_OFFICE_DAIHYOUSHA__irai="","御中","  "&amp;cst_JUDGE_OFFICE_DAIHYOUSHA__irai&amp;" 様")</f>
        <v>御中</v>
      </c>
    </row>
    <row r="27" spans="1:7" s="55" customFormat="1" ht="36" customHeight="1">
      <c r="A27" s="330"/>
      <c r="B27" s="333" t="s">
        <v>960</v>
      </c>
      <c r="F27" s="332" t="s">
        <v>1749</v>
      </c>
      <c r="G27" s="379" t="str">
        <f>cst_JUDGE_OFFICE_CORP&amp;IF(cst_JUDGE_OFFICE_DAIHYOUSHA__irai="","御中",CHAR(10)&amp;cst_JUDGE_OFFICE_DAIHYOUSHA__irai&amp;" 様")</f>
        <v>御中</v>
      </c>
    </row>
    <row r="28" spans="1:7" s="55" customFormat="1" ht="12">
      <c r="A28" s="330"/>
      <c r="B28" s="331" t="s">
        <v>961</v>
      </c>
      <c r="F28" s="332" t="s">
        <v>1750</v>
      </c>
      <c r="G28" s="361">
        <f ca="1">IF(cst_JUDGE_OFFICE_READ___base_point="","",IF(OFFSET(INDIRECT(cst_JUDGE_OFFICE_READ___base_point),MATCH(G24,INDIRECT(cst_JUDGE_OFFICE_READ___date_erea),1)-1,4,1,1)="","",OFFSET(INDIRECT(cst_JUDGE_OFFICE_READ___base_point),MATCH(G24,INDIRECT(cst_JUDGE_OFFICE_READ___date_erea),1)-1,4,1,1)))</f>
      </c>
    </row>
    <row r="29" spans="1:7" s="55" customFormat="1" ht="12">
      <c r="A29" s="330"/>
      <c r="B29" s="331" t="s">
        <v>962</v>
      </c>
      <c r="F29" s="332" t="s">
        <v>1751</v>
      </c>
      <c r="G29" s="377" t="str">
        <f>cst_JUDGE_OFFICE_CORP&amp;IF(cst_JUDGE_OFFICE_KOUZOUSEKININSHA__irai="","御中","  "&amp;cst_JUDGE_OFFICE_KOUZOUSEKININSHA__irai&amp;" 様")</f>
        <v>御中</v>
      </c>
    </row>
    <row r="30" spans="1:7" s="55" customFormat="1" ht="36" customHeight="1">
      <c r="A30" s="330"/>
      <c r="B30" s="333" t="s">
        <v>963</v>
      </c>
      <c r="F30" s="332" t="s">
        <v>1752</v>
      </c>
      <c r="G30" s="379" t="str">
        <f>cst_JUDGE_OFFICE_CORP&amp;IF(cst_JUDGE_OFFICE_KOUZOUSEKININSHA__irai="","御中",CHAR(10)&amp;cst_JUDGE_OFFICE_KOUZOUSEKININSHA__irai&amp;" 様")</f>
        <v>御中</v>
      </c>
    </row>
    <row r="31" spans="1:7" s="55" customFormat="1" ht="12">
      <c r="A31" s="330"/>
      <c r="B31" s="331"/>
      <c r="F31" s="332"/>
      <c r="G31" s="332"/>
    </row>
    <row r="32" spans="1:7" s="55" customFormat="1" ht="12">
      <c r="A32" s="330">
        <v>3</v>
      </c>
      <c r="B32" s="331" t="s">
        <v>964</v>
      </c>
      <c r="G32" s="378">
        <f ca="1">IF(shinsei_STR_EXCEEDED_DATE="",TODAY(),shinsei_STR_EXCEEDED_DATE)</f>
        <v>42671</v>
      </c>
    </row>
    <row r="33" spans="1:7" s="55" customFormat="1" ht="12">
      <c r="A33" s="330"/>
      <c r="B33" s="331" t="s">
        <v>2177</v>
      </c>
      <c r="F33" s="332" t="s">
        <v>1753</v>
      </c>
      <c r="G33" s="361">
        <f ca="1">IF(cst_JUDGE_OFFICE_READ___base_point="","",IF(OFFSET(INDIRECT(cst_JUDGE_OFFICE_READ___base_point),MATCH(G32,INDIRECT(cst_JUDGE_OFFICE_READ___date_erea),1)-1,3,1,1)="","",OFFSET(INDIRECT(cst_JUDGE_OFFICE_READ___base_point),MATCH(G32,INDIRECT(cst_JUDGE_OFFICE_READ___date_erea),1)-1,3,1,1)))</f>
      </c>
    </row>
    <row r="34" spans="1:7" s="55" customFormat="1" ht="12">
      <c r="A34" s="330"/>
      <c r="B34" s="331" t="s">
        <v>959</v>
      </c>
      <c r="F34" s="332" t="s">
        <v>1754</v>
      </c>
      <c r="G34" s="377" t="str">
        <f>cst_JUDGE_OFFICE_CORP&amp;IF(cst_JUDGE_OFFICE_DAIHYOUSHA__enchou="","御中","  "&amp;cst_JUDGE_OFFICE_DAIHYOUSHA__enchou&amp;" 様")</f>
        <v>御中</v>
      </c>
    </row>
    <row r="35" spans="1:7" s="55" customFormat="1" ht="36" customHeight="1">
      <c r="A35" s="330"/>
      <c r="B35" s="333" t="s">
        <v>960</v>
      </c>
      <c r="F35" s="332" t="s">
        <v>1755</v>
      </c>
      <c r="G35" s="379" t="str">
        <f>cst_JUDGE_OFFICE_CORP&amp;IF(cst_JUDGE_OFFICE_DAIHYOUSHA__enchou="","御中",CHAR(10)&amp;cst_JUDGE_OFFICE_DAIHYOUSHA__enchou&amp;" 様")</f>
        <v>御中</v>
      </c>
    </row>
    <row r="36" spans="1:7" s="55" customFormat="1" ht="12">
      <c r="A36" s="330"/>
      <c r="B36" s="331" t="s">
        <v>961</v>
      </c>
      <c r="F36" s="332" t="s">
        <v>1756</v>
      </c>
      <c r="G36" s="361">
        <f ca="1">IF(cst_JUDGE_OFFICE_READ___base_point="","",IF(OFFSET(INDIRECT(cst_JUDGE_OFFICE_READ___base_point),MATCH(G32,INDIRECT(cst_JUDGE_OFFICE_READ___date_erea),1)-1,4,1,1)="","",OFFSET(INDIRECT(cst_JUDGE_OFFICE_READ___base_point),MATCH(G32,INDIRECT(cst_JUDGE_OFFICE_READ___date_erea),1)-1,4,1,1)))</f>
      </c>
    </row>
    <row r="37" spans="1:7" s="55" customFormat="1" ht="12">
      <c r="A37" s="330"/>
      <c r="B37" s="331" t="s">
        <v>962</v>
      </c>
      <c r="F37" s="332" t="s">
        <v>1757</v>
      </c>
      <c r="G37" s="377" t="str">
        <f>cst_JUDGE_OFFICE_CORP&amp;IF(cst_JUDGE_OFFICE_KOUZOUSEKININSHA__enchou="","御中","  "&amp;cst_JUDGE_OFFICE_KOUZOUSEKININSHA__enchou&amp;" 様")</f>
        <v>御中</v>
      </c>
    </row>
    <row r="38" spans="1:7" s="55" customFormat="1" ht="36" customHeight="1">
      <c r="A38" s="330"/>
      <c r="B38" s="333" t="s">
        <v>963</v>
      </c>
      <c r="F38" s="332" t="s">
        <v>1758</v>
      </c>
      <c r="G38" s="379" t="str">
        <f>cst_JUDGE_OFFICE_CORP&amp;IF(cst_JUDGE_OFFICE_KOUZOUSEKININSHA__enchou="","御中",CHAR(10)&amp;cst_JUDGE_OFFICE_KOUZOUSEKININSHA__enchou&amp;" 様")</f>
        <v>御中</v>
      </c>
    </row>
    <row r="39" spans="1:7" s="55" customFormat="1" ht="12">
      <c r="A39" s="330"/>
      <c r="B39" s="331"/>
      <c r="F39" s="332"/>
      <c r="G39" s="332"/>
    </row>
    <row r="40" spans="1:7" s="55" customFormat="1" ht="12">
      <c r="A40" s="330">
        <v>4</v>
      </c>
      <c r="B40" s="331" t="s">
        <v>965</v>
      </c>
      <c r="G40" s="378">
        <f ca="1">IF(shinsei_STRTORISAGE_TEISYUTU_DATE="",TODAY(),shinsei_STRTORISAGE_TEISYUTU_DATE)</f>
        <v>42671</v>
      </c>
    </row>
    <row r="41" spans="1:7" s="55" customFormat="1" ht="12">
      <c r="A41" s="330"/>
      <c r="B41" s="331" t="s">
        <v>2177</v>
      </c>
      <c r="F41" s="332" t="s">
        <v>1759</v>
      </c>
      <c r="G41" s="361">
        <f ca="1">IF(cst_JUDGE_OFFICE_READ___base_point="","",IF(OFFSET(INDIRECT(cst_JUDGE_OFFICE_READ___base_point),MATCH(G40,INDIRECT(cst_JUDGE_OFFICE_READ___date_erea),1)-1,3,1,1)="","",OFFSET(INDIRECT(cst_JUDGE_OFFICE_READ___base_point),MATCH(G40,INDIRECT(cst_JUDGE_OFFICE_READ___date_erea),1)-1,3,1,1)))</f>
      </c>
    </row>
    <row r="42" spans="1:7" s="55" customFormat="1" ht="12">
      <c r="A42" s="330"/>
      <c r="B42" s="331" t="s">
        <v>959</v>
      </c>
      <c r="F42" s="332" t="s">
        <v>1760</v>
      </c>
      <c r="G42" s="377" t="str">
        <f>cst_JUDGE_OFFICE_CORP&amp;IF(cst_JUDGE_OFFICE_DAIHYOUSHA__torisage="","御中","  "&amp;cst_JUDGE_OFFICE_DAIHYOUSHA__torisage&amp;" 様")</f>
        <v>御中</v>
      </c>
    </row>
    <row r="43" spans="1:7" s="55" customFormat="1" ht="36" customHeight="1">
      <c r="A43" s="330"/>
      <c r="B43" s="333" t="s">
        <v>960</v>
      </c>
      <c r="F43" s="332" t="s">
        <v>1761</v>
      </c>
      <c r="G43" s="379" t="str">
        <f>cst_JUDGE_OFFICE_CORP&amp;IF(cst_JUDGE_OFFICE_DAIHYOUSHA__torisage="","御中",CHAR(10)&amp;cst_JUDGE_OFFICE_DAIHYOUSHA__torisage&amp;" 様")</f>
        <v>御中</v>
      </c>
    </row>
    <row r="44" spans="1:7" s="55" customFormat="1" ht="12">
      <c r="A44" s="330"/>
      <c r="B44" s="331" t="s">
        <v>961</v>
      </c>
      <c r="F44" s="332" t="s">
        <v>1762</v>
      </c>
      <c r="G44" s="361">
        <f ca="1">IF(cst_JUDGE_OFFICE_READ___base_point="","",IF(OFFSET(INDIRECT(cst_JUDGE_OFFICE_READ___base_point),MATCH(G40,INDIRECT(cst_JUDGE_OFFICE_READ___date_erea),1)-1,4,1,1)="","",OFFSET(INDIRECT(cst_JUDGE_OFFICE_READ___base_point),MATCH(G40,INDIRECT(cst_JUDGE_OFFICE_READ___date_erea),1)-1,4,1,1)))</f>
      </c>
    </row>
    <row r="45" spans="1:7" s="55" customFormat="1" ht="12">
      <c r="A45" s="330"/>
      <c r="B45" s="331" t="s">
        <v>962</v>
      </c>
      <c r="F45" s="332" t="s">
        <v>1763</v>
      </c>
      <c r="G45" s="377" t="str">
        <f>cst_JUDGE_OFFICE_CORP&amp;IF(cst_JUDGE_OFFICE_KOUZOUSEKININSHA__torisage="","御中","  "&amp;cst_JUDGE_OFFICE_KOUZOUSEKININSHA__torisage&amp;" 様")</f>
        <v>御中</v>
      </c>
    </row>
    <row r="46" spans="1:7" s="55" customFormat="1" ht="36" customHeight="1">
      <c r="A46" s="330"/>
      <c r="B46" s="333" t="s">
        <v>963</v>
      </c>
      <c r="F46" s="332" t="s">
        <v>1764</v>
      </c>
      <c r="G46" s="379" t="str">
        <f>cst_JUDGE_OFFICE_CORP&amp;IF(cst_JUDGE_OFFICE_KOUZOUSEKININSHA__enchou="","御中",CHAR(10)&amp;cst_JUDGE_OFFICE_KOUZOUSEKININSHA__enchou&amp;" 様")</f>
        <v>御中</v>
      </c>
    </row>
    <row r="47" spans="1:7" s="55" customFormat="1" ht="12">
      <c r="A47" s="330"/>
      <c r="B47" s="331"/>
      <c r="F47" s="332"/>
      <c r="G47" s="332"/>
    </row>
    <row r="48" spans="1:7" s="55" customFormat="1" ht="12">
      <c r="A48" s="330">
        <v>5</v>
      </c>
      <c r="B48" s="331" t="s">
        <v>966</v>
      </c>
      <c r="G48" s="378">
        <f ca="1">IF(cst_shinsei_STRUCTTUIKA_NOTIFT_DATE="",TODAY(),cst_shinsei_STRUCTTUIKA_NOTIFT_DATE)</f>
        <v>42671</v>
      </c>
    </row>
    <row r="49" spans="1:7" ht="12">
      <c r="A49" s="213"/>
      <c r="B49" s="331" t="s">
        <v>2177</v>
      </c>
      <c r="D49" s="222"/>
      <c r="E49" s="222"/>
      <c r="F49" s="332" t="s">
        <v>1765</v>
      </c>
      <c r="G49" s="361">
        <f ca="1">IF(cst_JUDGE_OFFICE_READ___base_point="","",IF(OFFSET(INDIRECT(cst_JUDGE_OFFICE_READ___base_point),MATCH(G48,INDIRECT(cst_JUDGE_OFFICE_READ___date_erea),1)-1,3,1,1)="","",OFFSET(INDIRECT(cst_JUDGE_OFFICE_READ___base_point),MATCH(G48,INDIRECT(cst_JUDGE_OFFICE_READ___date_erea),1)-1,3,1,1)))</f>
      </c>
    </row>
    <row r="50" spans="1:7" s="55" customFormat="1" ht="12">
      <c r="A50" s="330"/>
      <c r="B50" s="331" t="s">
        <v>959</v>
      </c>
      <c r="F50" s="332" t="s">
        <v>1766</v>
      </c>
      <c r="G50" s="377" t="str">
        <f>cst_JUDGE_OFFICE_CORP&amp;IF(cst_JUDGE_OFFICE_DAIHYOUSHA__tuikatosho="","御中","  "&amp;cst_JUDGE_OFFICE_DAIHYOUSHA__tuikatosho&amp;" 様")</f>
        <v>御中</v>
      </c>
    </row>
    <row r="51" spans="1:7" s="55" customFormat="1" ht="36" customHeight="1">
      <c r="A51" s="330"/>
      <c r="B51" s="333" t="s">
        <v>960</v>
      </c>
      <c r="F51" s="332" t="s">
        <v>1767</v>
      </c>
      <c r="G51" s="379" t="str">
        <f>cst_JUDGE_OFFICE_CORP&amp;IF(cst_JUDGE_OFFICE_DAIHYOUSHA__tuikatosho="","御中",CHAR(10)&amp;cst_JUDGE_OFFICE_DAIHYOUSHA__tuikatosho&amp;" 様")</f>
        <v>御中</v>
      </c>
    </row>
    <row r="52" spans="1:7" ht="12">
      <c r="A52" s="213"/>
      <c r="B52" s="331" t="s">
        <v>961</v>
      </c>
      <c r="D52" s="222"/>
      <c r="E52" s="222"/>
      <c r="F52" s="332" t="s">
        <v>1832</v>
      </c>
      <c r="G52" s="361">
        <f ca="1">IF(cst_JUDGE_OFFICE_READ___base_point="","",IF(OFFSET(INDIRECT(cst_JUDGE_OFFICE_READ___base_point),MATCH(G48,INDIRECT(cst_JUDGE_OFFICE_READ___date_erea),1)-1,4,1,1)="","",OFFSET(INDIRECT(cst_JUDGE_OFFICE_READ___base_point),MATCH(G48,INDIRECT(cst_JUDGE_OFFICE_READ___date_erea),1)-1,4,1,1)))</f>
      </c>
    </row>
    <row r="53" spans="1:7" s="55" customFormat="1" ht="12">
      <c r="A53" s="330"/>
      <c r="B53" s="331" t="s">
        <v>962</v>
      </c>
      <c r="F53" s="332" t="s">
        <v>1833</v>
      </c>
      <c r="G53" s="377" t="str">
        <f>cst_JUDGE_OFFICE_CORP&amp;IF(cst_JUDGE_OFFICE_KOUZOUSEKININSHA__tuikatosho="","御中","  "&amp;cst_JUDGE_OFFICE_KOUZOUSEKININSHA__tuikatosho&amp;" 様")</f>
        <v>御中</v>
      </c>
    </row>
    <row r="54" spans="1:7" s="55" customFormat="1" ht="36" customHeight="1">
      <c r="A54" s="330"/>
      <c r="B54" s="333" t="s">
        <v>963</v>
      </c>
      <c r="F54" s="332" t="s">
        <v>1834</v>
      </c>
      <c r="G54" s="379" t="str">
        <f>cst_JUDGE_OFFICE_CORP&amp;IF(cst_JUDGE_OFFICE_KOUZOUSEKININSHA__tuikatosho="","御中",CHAR(10)&amp;cst_JUDGE_OFFICE_KOUZOUSEKININSHA__tuikatosho&amp;" 様")</f>
        <v>御中</v>
      </c>
    </row>
    <row r="56" spans="1:7" ht="12">
      <c r="A56" s="330">
        <v>6</v>
      </c>
      <c r="B56" s="116" t="s">
        <v>967</v>
      </c>
      <c r="E56" s="335"/>
      <c r="F56" s="335"/>
      <c r="G56" s="378">
        <f ca="1">IF(cst_shinsei__STRUCTNOTIFT_HENKOU_NOTIFT_DATE="",TODAY(),cst_shinsei__STRUCTNOTIFT_HENKOU_NOTIFT_DATE)</f>
        <v>42671</v>
      </c>
    </row>
    <row r="57" spans="2:7" ht="12">
      <c r="B57" s="331" t="s">
        <v>2177</v>
      </c>
      <c r="F57" s="332" t="s">
        <v>1835</v>
      </c>
      <c r="G57" s="361">
        <f ca="1">IF(cst_JUDGE_OFFICE_READ___base_point="","",IF(OFFSET(INDIRECT(cst_JUDGE_OFFICE_READ___base_point),MATCH(G56,INDIRECT(cst_JUDGE_OFFICE_READ___date_erea),1)-1,3,1,1)="","",OFFSET(INDIRECT(cst_JUDGE_OFFICE_READ___base_point),MATCH(G56,INDIRECT(cst_JUDGE_OFFICE_READ___date_erea),1)-1,3,1,1)))</f>
      </c>
    </row>
    <row r="58" spans="2:7" ht="12">
      <c r="B58" s="331" t="s">
        <v>959</v>
      </c>
      <c r="F58" s="332" t="s">
        <v>1836</v>
      </c>
      <c r="G58" s="377" t="str">
        <f>cst_JUDGE_OFFICE_CORP&amp;IF(cst_JUDGE_OFFICE_DAIHYOUSHA__tuikatosho_henkou="","御中","  "&amp;cst_JUDGE_OFFICE_DAIHYOUSHA__tuikatosho_henkou&amp;" 様")</f>
        <v>御中</v>
      </c>
    </row>
    <row r="59" spans="2:7" ht="36" customHeight="1">
      <c r="B59" s="333" t="s">
        <v>960</v>
      </c>
      <c r="F59" s="332" t="s">
        <v>1837</v>
      </c>
      <c r="G59" s="379" t="str">
        <f>cst_JUDGE_OFFICE_CORP&amp;IF(cst_JUDGE_OFFICE_DAIHYOUSHA__tuikatosho_henkou="","御中",CHAR(10)&amp;cst_JUDGE_OFFICE_DAIHYOUSHA__tuikatosho_henkou&amp;" 様")</f>
        <v>御中</v>
      </c>
    </row>
    <row r="60" spans="2:7" ht="12">
      <c r="B60" s="331" t="s">
        <v>961</v>
      </c>
      <c r="F60" s="332" t="s">
        <v>1838</v>
      </c>
      <c r="G60" s="361">
        <f ca="1">IF(cst_JUDGE_OFFICE_READ___base_point="","",IF(OFFSET(INDIRECT(cst_JUDGE_OFFICE_READ___base_point),MATCH(G56,INDIRECT(cst_JUDGE_OFFICE_READ___date_erea),1)-1,4,1,1)="","",OFFSET(INDIRECT(cst_JUDGE_OFFICE_READ___base_point),MATCH(G56,INDIRECT(cst_JUDGE_OFFICE_READ___date_erea),1)-1,4,1,1)))</f>
      </c>
    </row>
    <row r="61" spans="2:7" ht="12">
      <c r="B61" s="331" t="s">
        <v>962</v>
      </c>
      <c r="F61" s="332" t="s">
        <v>1839</v>
      </c>
      <c r="G61" s="377" t="str">
        <f>cst_JUDGE_OFFICE_CORP&amp;IF(cst_JUDGE_OFFICE_KOUZOUSEKININSHA__tuikatosho_henkou="","御中","  "&amp;cst_JUDGE_OFFICE_KOUZOUSEKININSHA__tuikatosho_henkou&amp;" 様")</f>
        <v>御中</v>
      </c>
    </row>
    <row r="62" spans="2:7" ht="36" customHeight="1">
      <c r="B62" s="333" t="s">
        <v>963</v>
      </c>
      <c r="F62" s="332" t="s">
        <v>1840</v>
      </c>
      <c r="G62" s="379" t="str">
        <f>cst_JUDGE_OFFICE_CORP&amp;IF(cst_JUDGE_OFFICE_KOUZOUSEKININSHA__tuikatosho_henkou="","御中",CHAR(10)&amp;cst_JUDGE_OFFICE_KOUZOUSEKININSHA__tuikatosho_henkou&amp;" 様")</f>
        <v>御中</v>
      </c>
    </row>
    <row r="64" spans="1:7" s="55" customFormat="1" ht="12">
      <c r="A64" s="330">
        <v>7</v>
      </c>
      <c r="B64" s="331" t="s">
        <v>968</v>
      </c>
      <c r="G64" s="378">
        <f ca="1">IF(cst_shinsei__REPORT_DATE="",TODAY(),cst_shinsei__REPORT_DATE)</f>
        <v>42671</v>
      </c>
    </row>
    <row r="65" spans="1:7" s="55" customFormat="1" ht="12">
      <c r="A65" s="330"/>
      <c r="B65" s="331" t="s">
        <v>2177</v>
      </c>
      <c r="F65" s="332" t="s">
        <v>1841</v>
      </c>
      <c r="G65" s="361">
        <f ca="1">IF(cst_JUDGE_OFFICE_READ___base_point="","",IF(OFFSET(INDIRECT(cst_JUDGE_OFFICE_READ___base_point),MATCH(G64,INDIRECT(cst_JUDGE_OFFICE_READ___date_erea),1)-1,3,1,1)="","",OFFSET(INDIRECT(cst_JUDGE_OFFICE_READ___base_point),MATCH(G64,INDIRECT(cst_JUDGE_OFFICE_READ___date_erea),1)-1,3,1,1)))</f>
      </c>
    </row>
    <row r="66" spans="1:7" s="55" customFormat="1" ht="12">
      <c r="A66" s="330"/>
      <c r="B66" s="331" t="s">
        <v>969</v>
      </c>
      <c r="F66" s="332" t="s">
        <v>1842</v>
      </c>
      <c r="G66" s="377" t="str">
        <f>cst_JUDGE_OFFICE_CORP&amp;IF(cst_JUDGE_OFFICE_DAIHYOUSHA__HOUKOKU__disp="","御中","  "&amp;cst_JUDGE_OFFICE_DAIHYOUSHA__HOUKOKU__disp&amp;" 様")</f>
        <v>御中</v>
      </c>
    </row>
    <row r="67" spans="1:7" s="55" customFormat="1" ht="36" customHeight="1">
      <c r="A67" s="330"/>
      <c r="B67" s="333" t="s">
        <v>970</v>
      </c>
      <c r="F67" s="332" t="s">
        <v>1843</v>
      </c>
      <c r="G67" s="379" t="str">
        <f>cst_JUDGE_OFFICE_CORP&amp;IF(cst_JUDGE_OFFICE_DAIHYOUSHA__HOUKOKU__disp="","御中",CHAR(10)&amp;cst_JUDGE_OFFICE_DAIHYOUSHA__HOUKOKU__disp&amp;" 様")</f>
        <v>御中</v>
      </c>
    </row>
    <row r="68" spans="1:7" s="55" customFormat="1" ht="12">
      <c r="A68" s="330"/>
      <c r="B68" s="331" t="s">
        <v>971</v>
      </c>
      <c r="F68" s="332" t="s">
        <v>1844</v>
      </c>
      <c r="G68" s="361">
        <f ca="1">IF(cst_JUDGE_OFFICE_READ___base_point="","",IF(OFFSET(INDIRECT(cst_JUDGE_OFFICE_READ___base_point),MATCH(G64,INDIRECT(cst_JUDGE_OFFICE_READ___date_erea),1)-1,3,1,1)="","",OFFSET(INDIRECT(cst_JUDGE_OFFICE_READ___base_point),MATCH(G64,INDIRECT(cst_JUDGE_OFFICE_READ___date_erea),1)-1,3,1,1)))</f>
      </c>
    </row>
    <row r="69" spans="1:7" s="55" customFormat="1" ht="12">
      <c r="A69" s="330"/>
      <c r="B69" s="331" t="s">
        <v>959</v>
      </c>
      <c r="F69" s="332" t="s">
        <v>1845</v>
      </c>
      <c r="G69" s="377">
        <f>cst_JUDGE_OFFICE_CORP&amp;IF(cst_JUDGE_OFFICE_DAIHYOUSHA__HOUKOKU="","","  "&amp;cst_JUDGE_OFFICE_DAIHYOUSHA__HOUKOKU)</f>
      </c>
    </row>
    <row r="70" spans="1:7" s="55" customFormat="1" ht="36" customHeight="1">
      <c r="A70" s="330"/>
      <c r="B70" s="333" t="s">
        <v>960</v>
      </c>
      <c r="F70" s="332" t="s">
        <v>1846</v>
      </c>
      <c r="G70" s="379">
        <f>cst_JUDGE_OFFICE_CORP&amp;IF(cst_JUDGE_OFFICE_DAIHYOUSHA__HOUKOKU="","",CHAR(10)&amp;cst_JUDGE_OFFICE_DAIHYOUSHA__HOUKOKU)</f>
      </c>
    </row>
    <row r="71" spans="1:7" s="55" customFormat="1" ht="12">
      <c r="A71" s="330"/>
      <c r="B71" s="331"/>
      <c r="F71" s="332"/>
      <c r="G71" s="332"/>
    </row>
    <row r="72" ht="12">
      <c r="A72" s="222" t="s">
        <v>166</v>
      </c>
    </row>
    <row r="73" spans="1:5" ht="12">
      <c r="A73" s="237" t="s">
        <v>972</v>
      </c>
      <c r="B73" s="222"/>
      <c r="D73" s="334" t="s">
        <v>973</v>
      </c>
      <c r="E73" s="337"/>
    </row>
    <row r="74" spans="1:2" ht="12">
      <c r="A74" s="213"/>
      <c r="B74" s="237" t="s">
        <v>974</v>
      </c>
    </row>
    <row r="75" spans="1:5" ht="12">
      <c r="A75" s="237" t="s">
        <v>975</v>
      </c>
      <c r="B75" s="222"/>
      <c r="D75" s="222" t="s">
        <v>976</v>
      </c>
      <c r="E75" s="337"/>
    </row>
    <row r="76" spans="1:2" ht="12">
      <c r="A76" s="213"/>
      <c r="B76" s="237"/>
    </row>
    <row r="77" spans="1:5" ht="12">
      <c r="A77" s="237" t="s">
        <v>977</v>
      </c>
      <c r="B77" s="222"/>
      <c r="D77" s="237" t="s">
        <v>1847</v>
      </c>
      <c r="E77" s="338"/>
    </row>
    <row r="78" spans="1:2" ht="12">
      <c r="A78" s="213"/>
      <c r="B78" s="237" t="s">
        <v>978</v>
      </c>
    </row>
    <row r="79" spans="1:5" ht="12">
      <c r="A79" s="237" t="s">
        <v>979</v>
      </c>
      <c r="B79" s="222"/>
      <c r="D79" s="237" t="s">
        <v>1848</v>
      </c>
      <c r="E79" s="337"/>
    </row>
    <row r="80" spans="1:5" ht="12">
      <c r="A80" s="213"/>
      <c r="B80" s="237" t="s">
        <v>979</v>
      </c>
      <c r="D80" s="237"/>
      <c r="E80" s="222"/>
    </row>
    <row r="81" spans="1:5" ht="12">
      <c r="A81" s="222" t="s">
        <v>980</v>
      </c>
      <c r="D81" s="222"/>
      <c r="E81" s="222"/>
    </row>
    <row r="82" spans="4:5" ht="12">
      <c r="D82" s="237" t="s">
        <v>1849</v>
      </c>
      <c r="E82" s="337"/>
    </row>
    <row r="83" spans="4:5" ht="12">
      <c r="D83" s="237" t="s">
        <v>1850</v>
      </c>
      <c r="E83" s="337"/>
    </row>
    <row r="84" ht="12">
      <c r="D84" s="237"/>
    </row>
    <row r="86" spans="1:11" s="213" customFormat="1" ht="12.75" thickBot="1">
      <c r="A86" s="340">
        <f>ROW()</f>
        <v>86</v>
      </c>
      <c r="B86" s="345" t="s">
        <v>981</v>
      </c>
      <c r="C86" s="342" t="s">
        <v>982</v>
      </c>
      <c r="D86" s="341" t="s">
        <v>2458</v>
      </c>
      <c r="E86" s="343" t="s">
        <v>1725</v>
      </c>
      <c r="F86" s="344" t="s">
        <v>711</v>
      </c>
      <c r="G86" s="344" t="s">
        <v>983</v>
      </c>
      <c r="H86" s="344" t="s">
        <v>2286</v>
      </c>
      <c r="I86" s="344" t="s">
        <v>984</v>
      </c>
      <c r="J86" s="340"/>
      <c r="K86" s="371" t="s">
        <v>2808</v>
      </c>
    </row>
    <row r="87" spans="1:11" ht="12">
      <c r="A87" s="567">
        <v>1</v>
      </c>
      <c r="B87" s="366" t="s">
        <v>1852</v>
      </c>
      <c r="C87" s="363" t="s">
        <v>985</v>
      </c>
      <c r="D87" s="346">
        <v>1</v>
      </c>
      <c r="E87" s="347">
        <v>39253</v>
      </c>
      <c r="F87" s="348" t="s">
        <v>986</v>
      </c>
      <c r="G87" s="348" t="s">
        <v>987</v>
      </c>
      <c r="H87" s="348" t="s">
        <v>988</v>
      </c>
      <c r="I87" s="348" t="s">
        <v>1853</v>
      </c>
      <c r="J87" s="349">
        <f>IF(ISERROR(SEARCH(I87,cst_shinsei_STRUCTRESULT_NOTIFY_KOUFU_NAME,1)),IF(ISERROR(SEARCH(I88,cst_shinsei_STRUCTRESULT_NOTIFY_KOUFU_NAME,1)),0,1),1)</f>
        <v>0</v>
      </c>
      <c r="K87" s="372" t="s">
        <v>2809</v>
      </c>
    </row>
    <row r="88" spans="1:11" ht="12">
      <c r="A88" s="568"/>
      <c r="B88" s="367"/>
      <c r="C88" s="364"/>
      <c r="D88" s="346">
        <v>2</v>
      </c>
      <c r="E88" s="347"/>
      <c r="F88" s="351"/>
      <c r="G88" s="351"/>
      <c r="H88" s="351" t="s">
        <v>989</v>
      </c>
      <c r="I88" s="351" t="s">
        <v>990</v>
      </c>
      <c r="J88" s="350"/>
      <c r="K88" s="373"/>
    </row>
    <row r="89" spans="1:11" ht="12">
      <c r="A89" s="568"/>
      <c r="B89" s="367"/>
      <c r="C89" s="364"/>
      <c r="D89" s="346">
        <v>3</v>
      </c>
      <c r="E89" s="347"/>
      <c r="F89" s="351"/>
      <c r="G89" s="351"/>
      <c r="H89" s="351" t="s">
        <v>1854</v>
      </c>
      <c r="I89" s="351" t="s">
        <v>1855</v>
      </c>
      <c r="J89" s="350"/>
      <c r="K89" s="373"/>
    </row>
    <row r="90" spans="1:11" ht="12">
      <c r="A90" s="568"/>
      <c r="B90" s="367"/>
      <c r="C90" s="364"/>
      <c r="D90" s="346">
        <v>4</v>
      </c>
      <c r="E90" s="347"/>
      <c r="F90" s="351"/>
      <c r="G90" s="351"/>
      <c r="H90" s="351"/>
      <c r="I90" s="351"/>
      <c r="J90" s="350"/>
      <c r="K90" s="373"/>
    </row>
    <row r="91" spans="1:11" ht="12">
      <c r="A91" s="569"/>
      <c r="B91" s="368"/>
      <c r="C91" s="365"/>
      <c r="D91" s="353" t="s">
        <v>1856</v>
      </c>
      <c r="E91" s="354"/>
      <c r="F91" s="355"/>
      <c r="G91" s="355"/>
      <c r="H91" s="355"/>
      <c r="I91" s="355"/>
      <c r="J91" s="352"/>
      <c r="K91" s="374"/>
    </row>
    <row r="92" spans="1:11" ht="12">
      <c r="A92" s="567">
        <f>A87+1</f>
        <v>2</v>
      </c>
      <c r="B92" s="369" t="s">
        <v>1857</v>
      </c>
      <c r="C92" s="363" t="s">
        <v>992</v>
      </c>
      <c r="D92" s="356">
        <v>1</v>
      </c>
      <c r="E92" s="347">
        <v>39253</v>
      </c>
      <c r="F92" s="348" t="s">
        <v>993</v>
      </c>
      <c r="G92" s="348" t="s">
        <v>93</v>
      </c>
      <c r="H92" s="348" t="s">
        <v>988</v>
      </c>
      <c r="I92" s="348" t="s">
        <v>94</v>
      </c>
      <c r="J92" s="349">
        <f>IF(ISERROR(SEARCH(I92,cst_shinsei_STRUCTRESULT_NOTIFY_KOUFU_NAME,1)),IF(ISERROR(SEARCH(I93,cst_shinsei_STRUCTRESULT_NOTIFY_KOUFU_NAME,1)),0,1),1)</f>
        <v>0</v>
      </c>
      <c r="K92" s="375" t="s">
        <v>2810</v>
      </c>
    </row>
    <row r="93" spans="1:11" ht="12">
      <c r="A93" s="568"/>
      <c r="B93" s="367"/>
      <c r="C93" s="364"/>
      <c r="D93" s="346">
        <v>2</v>
      </c>
      <c r="E93" s="347"/>
      <c r="F93" s="351"/>
      <c r="G93" s="351"/>
      <c r="H93" s="351"/>
      <c r="I93" s="351" t="s">
        <v>1858</v>
      </c>
      <c r="J93" s="350"/>
      <c r="K93" s="373"/>
    </row>
    <row r="94" spans="1:11" ht="12">
      <c r="A94" s="568"/>
      <c r="B94" s="367"/>
      <c r="C94" s="364"/>
      <c r="D94" s="346">
        <v>3</v>
      </c>
      <c r="E94" s="347"/>
      <c r="F94" s="351"/>
      <c r="G94" s="351"/>
      <c r="H94" s="351"/>
      <c r="I94" s="351"/>
      <c r="J94" s="350"/>
      <c r="K94" s="373"/>
    </row>
    <row r="95" spans="1:11" ht="12">
      <c r="A95" s="568"/>
      <c r="B95" s="367"/>
      <c r="C95" s="364"/>
      <c r="D95" s="346">
        <v>4</v>
      </c>
      <c r="E95" s="347"/>
      <c r="F95" s="351"/>
      <c r="G95" s="351"/>
      <c r="H95" s="351"/>
      <c r="I95" s="351"/>
      <c r="J95" s="350"/>
      <c r="K95" s="373"/>
    </row>
    <row r="96" spans="1:11" ht="12">
      <c r="A96" s="569"/>
      <c r="B96" s="368"/>
      <c r="C96" s="365"/>
      <c r="D96" s="353" t="s">
        <v>1856</v>
      </c>
      <c r="E96" s="354"/>
      <c r="F96" s="355"/>
      <c r="G96" s="355"/>
      <c r="H96" s="355"/>
      <c r="I96" s="355"/>
      <c r="J96" s="352"/>
      <c r="K96" s="374"/>
    </row>
    <row r="97" spans="1:11" ht="12">
      <c r="A97" s="567">
        <f>A92+1</f>
        <v>3</v>
      </c>
      <c r="B97" s="369" t="s">
        <v>1859</v>
      </c>
      <c r="C97" s="363" t="s">
        <v>95</v>
      </c>
      <c r="D97" s="356">
        <v>1</v>
      </c>
      <c r="E97" s="347">
        <v>39253</v>
      </c>
      <c r="F97" s="348" t="s">
        <v>96</v>
      </c>
      <c r="G97" s="348" t="s">
        <v>97</v>
      </c>
      <c r="H97" s="348" t="s">
        <v>988</v>
      </c>
      <c r="I97" s="348" t="s">
        <v>1860</v>
      </c>
      <c r="J97" s="349">
        <f>IF(ISERROR(SEARCH(I97,cst_shinsei_STRUCTRESULT_NOTIFY_KOUFU_NAME,1)),IF(ISERROR(SEARCH(I98,cst_shinsei_STRUCTRESULT_NOTIFY_KOUFU_NAME,1)),0,1),1)</f>
        <v>0</v>
      </c>
      <c r="K97" s="375" t="s">
        <v>2811</v>
      </c>
    </row>
    <row r="98" spans="1:11" ht="12">
      <c r="A98" s="568"/>
      <c r="B98" s="367"/>
      <c r="C98" s="364"/>
      <c r="D98" s="346">
        <v>2</v>
      </c>
      <c r="E98" s="347"/>
      <c r="F98" s="351"/>
      <c r="G98" s="351"/>
      <c r="H98" s="351" t="s">
        <v>1861</v>
      </c>
      <c r="I98" s="351" t="s">
        <v>1862</v>
      </c>
      <c r="J98" s="350"/>
      <c r="K98" s="373"/>
    </row>
    <row r="99" spans="1:11" ht="12">
      <c r="A99" s="568"/>
      <c r="B99" s="367"/>
      <c r="C99" s="364"/>
      <c r="D99" s="346">
        <v>3</v>
      </c>
      <c r="E99" s="347"/>
      <c r="F99" s="351"/>
      <c r="G99" s="351"/>
      <c r="H99" s="351"/>
      <c r="I99" s="351"/>
      <c r="J99" s="350"/>
      <c r="K99" s="373"/>
    </row>
    <row r="100" spans="1:11" ht="12">
      <c r="A100" s="568"/>
      <c r="B100" s="367"/>
      <c r="C100" s="364"/>
      <c r="D100" s="346">
        <v>4</v>
      </c>
      <c r="E100" s="347"/>
      <c r="F100" s="351"/>
      <c r="G100" s="351"/>
      <c r="H100" s="351"/>
      <c r="I100" s="351"/>
      <c r="J100" s="350"/>
      <c r="K100" s="373"/>
    </row>
    <row r="101" spans="1:11" ht="12">
      <c r="A101" s="569"/>
      <c r="B101" s="368"/>
      <c r="C101" s="365"/>
      <c r="D101" s="353" t="s">
        <v>1863</v>
      </c>
      <c r="E101" s="354"/>
      <c r="F101" s="355"/>
      <c r="G101" s="355"/>
      <c r="H101" s="355"/>
      <c r="I101" s="355"/>
      <c r="J101" s="352"/>
      <c r="K101" s="374"/>
    </row>
    <row r="102" spans="1:11" ht="12">
      <c r="A102" s="567">
        <f>A97+1</f>
        <v>4</v>
      </c>
      <c r="B102" s="369" t="s">
        <v>1864</v>
      </c>
      <c r="C102" s="363" t="s">
        <v>1865</v>
      </c>
      <c r="D102" s="356">
        <v>1</v>
      </c>
      <c r="E102" s="347">
        <v>39253</v>
      </c>
      <c r="F102" s="348" t="s">
        <v>98</v>
      </c>
      <c r="G102" s="357" t="s">
        <v>1733</v>
      </c>
      <c r="H102" s="348"/>
      <c r="I102" s="348" t="s">
        <v>1866</v>
      </c>
      <c r="J102" s="349">
        <f>IF(ISERROR(SEARCH(I102,cst_shinsei_STRUCTRESULT_NOTIFY_KOUFU_NAME,1)),IF(ISERROR(SEARCH(I103,cst_shinsei_STRUCTRESULT_NOTIFY_KOUFU_NAME,1)),0,1),1)</f>
        <v>0</v>
      </c>
      <c r="K102" s="375" t="s">
        <v>2812</v>
      </c>
    </row>
    <row r="103" spans="1:11" ht="12">
      <c r="A103" s="568"/>
      <c r="B103" s="367"/>
      <c r="C103" s="364"/>
      <c r="D103" s="346">
        <v>2</v>
      </c>
      <c r="E103" s="347">
        <v>40026</v>
      </c>
      <c r="F103" s="351" t="s">
        <v>2630</v>
      </c>
      <c r="G103" s="358" t="s">
        <v>1733</v>
      </c>
      <c r="H103" s="351"/>
      <c r="I103" s="351" t="s">
        <v>99</v>
      </c>
      <c r="J103" s="350"/>
      <c r="K103" s="373"/>
    </row>
    <row r="104" spans="1:11" ht="12">
      <c r="A104" s="568"/>
      <c r="B104" s="367"/>
      <c r="C104" s="364"/>
      <c r="D104" s="346">
        <v>3</v>
      </c>
      <c r="E104" s="347"/>
      <c r="F104" s="351"/>
      <c r="G104" s="351"/>
      <c r="H104" s="351"/>
      <c r="I104" s="351"/>
      <c r="J104" s="350"/>
      <c r="K104" s="373"/>
    </row>
    <row r="105" spans="1:11" ht="12">
      <c r="A105" s="568"/>
      <c r="B105" s="367"/>
      <c r="C105" s="364"/>
      <c r="D105" s="346">
        <v>4</v>
      </c>
      <c r="E105" s="347"/>
      <c r="F105" s="351"/>
      <c r="G105" s="351"/>
      <c r="H105" s="351"/>
      <c r="I105" s="351"/>
      <c r="J105" s="350"/>
      <c r="K105" s="373"/>
    </row>
    <row r="106" spans="1:11" ht="12">
      <c r="A106" s="569"/>
      <c r="B106" s="368"/>
      <c r="C106" s="365"/>
      <c r="D106" s="353" t="s">
        <v>1863</v>
      </c>
      <c r="E106" s="354"/>
      <c r="F106" s="355"/>
      <c r="G106" s="355"/>
      <c r="H106" s="355"/>
      <c r="I106" s="355"/>
      <c r="J106" s="352"/>
      <c r="K106" s="374"/>
    </row>
    <row r="107" spans="1:11" ht="12">
      <c r="A107" s="567">
        <f>A102+1</f>
        <v>5</v>
      </c>
      <c r="B107" s="369" t="s">
        <v>1867</v>
      </c>
      <c r="C107" s="363" t="s">
        <v>1868</v>
      </c>
      <c r="D107" s="356">
        <v>1</v>
      </c>
      <c r="E107" s="347">
        <v>39253</v>
      </c>
      <c r="F107" s="348" t="s">
        <v>100</v>
      </c>
      <c r="G107" s="348" t="s">
        <v>101</v>
      </c>
      <c r="H107" s="348" t="s">
        <v>988</v>
      </c>
      <c r="I107" s="348" t="s">
        <v>1869</v>
      </c>
      <c r="J107" s="349">
        <f>IF(ISERROR(SEARCH(I107,cst_shinsei_STRUCTRESULT_NOTIFY_KOUFU_NAME,1)),IF(ISERROR(SEARCH(I108,cst_shinsei_STRUCTRESULT_NOTIFY_KOUFU_NAME,1)),0,1),1)</f>
        <v>0</v>
      </c>
      <c r="K107" s="375" t="s">
        <v>2813</v>
      </c>
    </row>
    <row r="108" spans="1:11" ht="12">
      <c r="A108" s="568"/>
      <c r="B108" s="367"/>
      <c r="C108" s="364"/>
      <c r="D108" s="346">
        <v>2</v>
      </c>
      <c r="E108" s="347"/>
      <c r="F108" s="351"/>
      <c r="G108" s="351"/>
      <c r="H108" s="351"/>
      <c r="I108" s="351" t="s">
        <v>102</v>
      </c>
      <c r="J108" s="350"/>
      <c r="K108" s="373"/>
    </row>
    <row r="109" spans="1:11" ht="12">
      <c r="A109" s="568"/>
      <c r="B109" s="367"/>
      <c r="C109" s="364"/>
      <c r="D109" s="346">
        <v>3</v>
      </c>
      <c r="E109" s="347"/>
      <c r="F109" s="351"/>
      <c r="G109" s="351"/>
      <c r="H109" s="351"/>
      <c r="I109" s="351"/>
      <c r="J109" s="350"/>
      <c r="K109" s="373"/>
    </row>
    <row r="110" spans="1:11" ht="12">
      <c r="A110" s="568"/>
      <c r="B110" s="367"/>
      <c r="C110" s="364"/>
      <c r="D110" s="346">
        <v>4</v>
      </c>
      <c r="E110" s="347"/>
      <c r="F110" s="351"/>
      <c r="G110" s="351"/>
      <c r="H110" s="351"/>
      <c r="I110" s="351"/>
      <c r="J110" s="350"/>
      <c r="K110" s="373"/>
    </row>
    <row r="111" spans="1:11" ht="12">
      <c r="A111" s="569"/>
      <c r="B111" s="368"/>
      <c r="C111" s="365"/>
      <c r="D111" s="353" t="s">
        <v>1870</v>
      </c>
      <c r="E111" s="354"/>
      <c r="F111" s="355"/>
      <c r="G111" s="355"/>
      <c r="H111" s="355"/>
      <c r="I111" s="355"/>
      <c r="J111" s="352"/>
      <c r="K111" s="374"/>
    </row>
    <row r="112" spans="1:11" ht="12">
      <c r="A112" s="567">
        <f>A107+1</f>
        <v>6</v>
      </c>
      <c r="B112" s="369" t="s">
        <v>1871</v>
      </c>
      <c r="C112" s="363" t="s">
        <v>1872</v>
      </c>
      <c r="D112" s="356">
        <v>1</v>
      </c>
      <c r="E112" s="347">
        <v>39253</v>
      </c>
      <c r="F112" s="348" t="s">
        <v>103</v>
      </c>
      <c r="G112" s="348" t="s">
        <v>104</v>
      </c>
      <c r="H112" s="348" t="s">
        <v>988</v>
      </c>
      <c r="I112" s="348" t="s">
        <v>105</v>
      </c>
      <c r="J112" s="349">
        <f>IF(ISERROR(SEARCH(I112,cst_shinsei_STRUCTRESULT_NOTIFY_KOUFU_NAME,1)),IF(ISERROR(SEARCH(I113,cst_shinsei_STRUCTRESULT_NOTIFY_KOUFU_NAME,1)),0,1),1)</f>
        <v>0</v>
      </c>
      <c r="K112" s="375" t="s">
        <v>2814</v>
      </c>
    </row>
    <row r="113" spans="1:11" ht="12">
      <c r="A113" s="568"/>
      <c r="B113" s="367"/>
      <c r="C113" s="364"/>
      <c r="D113" s="346">
        <v>2</v>
      </c>
      <c r="E113" s="347"/>
      <c r="F113" s="351"/>
      <c r="G113" s="351"/>
      <c r="H113" s="351"/>
      <c r="I113" s="351" t="s">
        <v>106</v>
      </c>
      <c r="J113" s="350"/>
      <c r="K113" s="373"/>
    </row>
    <row r="114" spans="1:11" ht="12">
      <c r="A114" s="568"/>
      <c r="B114" s="367"/>
      <c r="C114" s="364"/>
      <c r="D114" s="346">
        <v>3</v>
      </c>
      <c r="E114" s="347"/>
      <c r="F114" s="351"/>
      <c r="G114" s="351"/>
      <c r="H114" s="351"/>
      <c r="I114" s="351"/>
      <c r="J114" s="350"/>
      <c r="K114" s="373"/>
    </row>
    <row r="115" spans="1:11" ht="12">
      <c r="A115" s="568"/>
      <c r="B115" s="367"/>
      <c r="C115" s="364"/>
      <c r="D115" s="346">
        <v>4</v>
      </c>
      <c r="E115" s="347"/>
      <c r="F115" s="351"/>
      <c r="G115" s="351"/>
      <c r="H115" s="351"/>
      <c r="I115" s="351"/>
      <c r="J115" s="350"/>
      <c r="K115" s="373"/>
    </row>
    <row r="116" spans="1:11" ht="12">
      <c r="A116" s="569"/>
      <c r="B116" s="368"/>
      <c r="C116" s="365"/>
      <c r="D116" s="353" t="s">
        <v>1873</v>
      </c>
      <c r="E116" s="354"/>
      <c r="F116" s="355"/>
      <c r="G116" s="355"/>
      <c r="H116" s="355"/>
      <c r="I116" s="355"/>
      <c r="J116" s="352"/>
      <c r="K116" s="374"/>
    </row>
    <row r="117" spans="1:11" ht="12">
      <c r="A117" s="567">
        <f>A112+1</f>
        <v>7</v>
      </c>
      <c r="B117" s="369" t="s">
        <v>1874</v>
      </c>
      <c r="C117" s="363" t="s">
        <v>1875</v>
      </c>
      <c r="D117" s="356">
        <v>1</v>
      </c>
      <c r="E117" s="347">
        <v>39253</v>
      </c>
      <c r="F117" s="348" t="s">
        <v>107</v>
      </c>
      <c r="G117" s="348" t="s">
        <v>108</v>
      </c>
      <c r="H117" s="348" t="s">
        <v>988</v>
      </c>
      <c r="I117" s="348" t="s">
        <v>109</v>
      </c>
      <c r="J117" s="349">
        <f>IF(ISERROR(SEARCH(I117,cst_shinsei_STRUCTRESULT_NOTIFY_KOUFU_NAME,1)),IF(ISERROR(SEARCH(I118,cst_shinsei_STRUCTRESULT_NOTIFY_KOUFU_NAME,1)),0,1),1)</f>
        <v>0</v>
      </c>
      <c r="K117" s="375" t="s">
        <v>2815</v>
      </c>
    </row>
    <row r="118" spans="1:11" ht="12">
      <c r="A118" s="568"/>
      <c r="B118" s="367"/>
      <c r="C118" s="364"/>
      <c r="D118" s="346">
        <v>2</v>
      </c>
      <c r="E118" s="347">
        <v>40330</v>
      </c>
      <c r="F118" s="351" t="s">
        <v>2024</v>
      </c>
      <c r="G118" s="351" t="s">
        <v>108</v>
      </c>
      <c r="H118" s="351"/>
      <c r="I118" s="351" t="s">
        <v>110</v>
      </c>
      <c r="J118" s="350"/>
      <c r="K118" s="373"/>
    </row>
    <row r="119" spans="1:11" ht="12">
      <c r="A119" s="568"/>
      <c r="B119" s="367"/>
      <c r="C119" s="364"/>
      <c r="D119" s="346">
        <v>3</v>
      </c>
      <c r="E119" s="347"/>
      <c r="F119" s="351"/>
      <c r="G119" s="351"/>
      <c r="H119" s="351"/>
      <c r="I119" s="351"/>
      <c r="J119" s="350"/>
      <c r="K119" s="373"/>
    </row>
    <row r="120" spans="1:11" ht="12">
      <c r="A120" s="568"/>
      <c r="B120" s="367"/>
      <c r="C120" s="364"/>
      <c r="D120" s="346">
        <v>4</v>
      </c>
      <c r="E120" s="347"/>
      <c r="F120" s="351"/>
      <c r="G120" s="351"/>
      <c r="H120" s="351"/>
      <c r="I120" s="351"/>
      <c r="J120" s="350"/>
      <c r="K120" s="373"/>
    </row>
    <row r="121" spans="1:11" ht="12">
      <c r="A121" s="569"/>
      <c r="B121" s="368"/>
      <c r="C121" s="365"/>
      <c r="D121" s="353" t="s">
        <v>1863</v>
      </c>
      <c r="E121" s="354"/>
      <c r="F121" s="355"/>
      <c r="G121" s="355"/>
      <c r="H121" s="355"/>
      <c r="I121" s="355"/>
      <c r="J121" s="352"/>
      <c r="K121" s="374"/>
    </row>
    <row r="122" spans="1:11" ht="12">
      <c r="A122" s="567">
        <f>A117+1</f>
        <v>8</v>
      </c>
      <c r="B122" s="369" t="s">
        <v>1876</v>
      </c>
      <c r="C122" s="363" t="s">
        <v>1886</v>
      </c>
      <c r="D122" s="356">
        <v>1</v>
      </c>
      <c r="E122" s="347">
        <v>39253</v>
      </c>
      <c r="F122" s="348" t="s">
        <v>111</v>
      </c>
      <c r="G122" s="348" t="s">
        <v>1887</v>
      </c>
      <c r="H122" s="348" t="s">
        <v>988</v>
      </c>
      <c r="I122" s="348" t="s">
        <v>1888</v>
      </c>
      <c r="J122" s="349">
        <f>IF(ISERROR(SEARCH(I122,cst_shinsei_STRUCTRESULT_NOTIFY_KOUFU_NAME,1)),IF(ISERROR(SEARCH(I123,cst_shinsei_STRUCTRESULT_NOTIFY_KOUFU_NAME,1)),0,1),1)</f>
        <v>0</v>
      </c>
      <c r="K122" s="375" t="s">
        <v>2816</v>
      </c>
    </row>
    <row r="123" spans="1:11" ht="12">
      <c r="A123" s="568"/>
      <c r="B123" s="367"/>
      <c r="C123" s="364"/>
      <c r="D123" s="346">
        <v>2</v>
      </c>
      <c r="E123" s="347">
        <v>39904</v>
      </c>
      <c r="F123" s="351" t="s">
        <v>112</v>
      </c>
      <c r="G123" s="351"/>
      <c r="H123" s="351" t="s">
        <v>1861</v>
      </c>
      <c r="I123" s="351" t="s">
        <v>113</v>
      </c>
      <c r="J123" s="350"/>
      <c r="K123" s="373"/>
    </row>
    <row r="124" spans="1:11" ht="12">
      <c r="A124" s="568"/>
      <c r="B124" s="367"/>
      <c r="C124" s="364"/>
      <c r="D124" s="346">
        <v>3</v>
      </c>
      <c r="E124" s="347"/>
      <c r="F124" s="351"/>
      <c r="G124" s="351"/>
      <c r="H124" s="351"/>
      <c r="I124" s="351"/>
      <c r="J124" s="350"/>
      <c r="K124" s="373"/>
    </row>
    <row r="125" spans="1:11" ht="12">
      <c r="A125" s="568"/>
      <c r="B125" s="367"/>
      <c r="C125" s="364"/>
      <c r="D125" s="346">
        <v>4</v>
      </c>
      <c r="E125" s="347"/>
      <c r="F125" s="351"/>
      <c r="G125" s="351"/>
      <c r="H125" s="351"/>
      <c r="I125" s="351"/>
      <c r="J125" s="350"/>
      <c r="K125" s="373"/>
    </row>
    <row r="126" spans="1:11" ht="12">
      <c r="A126" s="569"/>
      <c r="B126" s="368"/>
      <c r="C126" s="365"/>
      <c r="D126" s="353" t="s">
        <v>1889</v>
      </c>
      <c r="E126" s="354"/>
      <c r="F126" s="355"/>
      <c r="G126" s="355"/>
      <c r="H126" s="355"/>
      <c r="I126" s="355"/>
      <c r="J126" s="352"/>
      <c r="K126" s="374"/>
    </row>
    <row r="127" spans="1:11" ht="12">
      <c r="A127" s="567">
        <f>A122+1</f>
        <v>9</v>
      </c>
      <c r="B127" s="369" t="s">
        <v>1890</v>
      </c>
      <c r="C127" s="363" t="s">
        <v>1891</v>
      </c>
      <c r="D127" s="356">
        <v>1</v>
      </c>
      <c r="E127" s="347">
        <v>39253</v>
      </c>
      <c r="F127" s="348" t="s">
        <v>114</v>
      </c>
      <c r="G127" s="348" t="s">
        <v>115</v>
      </c>
      <c r="H127" s="348" t="s">
        <v>988</v>
      </c>
      <c r="I127" s="348" t="s">
        <v>116</v>
      </c>
      <c r="J127" s="349">
        <f>IF(ISERROR(SEARCH(I127,cst_shinsei_STRUCTRESULT_NOTIFY_KOUFU_NAME,1)),IF(ISERROR(SEARCH(I128,cst_shinsei_STRUCTRESULT_NOTIFY_KOUFU_NAME,1)),0,1),1)</f>
        <v>0</v>
      </c>
      <c r="K127" s="375" t="s">
        <v>2817</v>
      </c>
    </row>
    <row r="128" spans="1:11" ht="12">
      <c r="A128" s="568"/>
      <c r="B128" s="367"/>
      <c r="C128" s="364"/>
      <c r="D128" s="346">
        <v>2</v>
      </c>
      <c r="E128" s="347"/>
      <c r="F128" s="351"/>
      <c r="G128" s="351"/>
      <c r="H128" s="351"/>
      <c r="I128" s="351" t="s">
        <v>117</v>
      </c>
      <c r="J128" s="350"/>
      <c r="K128" s="373"/>
    </row>
    <row r="129" spans="1:11" ht="12">
      <c r="A129" s="568"/>
      <c r="B129" s="367"/>
      <c r="C129" s="364"/>
      <c r="D129" s="346">
        <v>3</v>
      </c>
      <c r="E129" s="347"/>
      <c r="F129" s="351"/>
      <c r="G129" s="351"/>
      <c r="H129" s="351"/>
      <c r="I129" s="351"/>
      <c r="J129" s="350"/>
      <c r="K129" s="373"/>
    </row>
    <row r="130" spans="1:11" ht="12">
      <c r="A130" s="568"/>
      <c r="B130" s="367"/>
      <c r="C130" s="364"/>
      <c r="D130" s="346">
        <v>4</v>
      </c>
      <c r="E130" s="347"/>
      <c r="F130" s="351"/>
      <c r="G130" s="351"/>
      <c r="H130" s="351"/>
      <c r="I130" s="351"/>
      <c r="J130" s="350"/>
      <c r="K130" s="373"/>
    </row>
    <row r="131" spans="1:11" ht="12">
      <c r="A131" s="569"/>
      <c r="B131" s="368"/>
      <c r="C131" s="365"/>
      <c r="D131" s="353" t="s">
        <v>1863</v>
      </c>
      <c r="E131" s="354"/>
      <c r="F131" s="355"/>
      <c r="G131" s="355"/>
      <c r="H131" s="355"/>
      <c r="I131" s="355"/>
      <c r="J131" s="352"/>
      <c r="K131" s="374"/>
    </row>
    <row r="132" spans="1:11" ht="12">
      <c r="A132" s="567">
        <f>A127+1</f>
        <v>10</v>
      </c>
      <c r="B132" s="369" t="s">
        <v>1892</v>
      </c>
      <c r="C132" s="363" t="s">
        <v>1893</v>
      </c>
      <c r="D132" s="356">
        <v>1</v>
      </c>
      <c r="E132" s="347">
        <v>39253</v>
      </c>
      <c r="F132" s="348"/>
      <c r="G132" s="348"/>
      <c r="H132" s="348"/>
      <c r="I132" s="348" t="s">
        <v>1387</v>
      </c>
      <c r="J132" s="349">
        <f>IF(ISERROR(SEARCH(I132,cst_shinsei_STRUCTRESULT_NOTIFY_KOUFU_NAME,1)),IF(ISERROR(SEARCH(I133,cst_shinsei_STRUCTRESULT_NOTIFY_KOUFU_NAME,1)),0,1),1)</f>
        <v>0</v>
      </c>
      <c r="K132" s="375" t="s">
        <v>1387</v>
      </c>
    </row>
    <row r="133" spans="1:11" ht="12">
      <c r="A133" s="568"/>
      <c r="B133" s="367"/>
      <c r="C133" s="364"/>
      <c r="D133" s="346">
        <v>2</v>
      </c>
      <c r="E133" s="347"/>
      <c r="F133" s="351"/>
      <c r="G133" s="351"/>
      <c r="H133" s="351"/>
      <c r="I133" s="351" t="s">
        <v>1894</v>
      </c>
      <c r="J133" s="350"/>
      <c r="K133" s="373"/>
    </row>
    <row r="134" spans="1:11" ht="12">
      <c r="A134" s="568"/>
      <c r="B134" s="367"/>
      <c r="C134" s="364"/>
      <c r="D134" s="346">
        <v>3</v>
      </c>
      <c r="E134" s="347"/>
      <c r="F134" s="351"/>
      <c r="G134" s="351"/>
      <c r="H134" s="351"/>
      <c r="I134" s="351"/>
      <c r="J134" s="350"/>
      <c r="K134" s="373"/>
    </row>
    <row r="135" spans="1:11" ht="12">
      <c r="A135" s="568"/>
      <c r="B135" s="367"/>
      <c r="C135" s="364"/>
      <c r="D135" s="346">
        <v>4</v>
      </c>
      <c r="E135" s="347"/>
      <c r="F135" s="351"/>
      <c r="G135" s="351"/>
      <c r="H135" s="351"/>
      <c r="I135" s="351"/>
      <c r="J135" s="350"/>
      <c r="K135" s="373"/>
    </row>
    <row r="136" spans="1:11" ht="12">
      <c r="A136" s="569"/>
      <c r="B136" s="368"/>
      <c r="C136" s="365"/>
      <c r="D136" s="353" t="s">
        <v>1863</v>
      </c>
      <c r="E136" s="354"/>
      <c r="F136" s="355"/>
      <c r="G136" s="355"/>
      <c r="H136" s="355"/>
      <c r="I136" s="355"/>
      <c r="J136" s="352"/>
      <c r="K136" s="374"/>
    </row>
    <row r="137" spans="1:11" ht="12">
      <c r="A137" s="567">
        <f>A132+1</f>
        <v>11</v>
      </c>
      <c r="B137" s="369" t="s">
        <v>1895</v>
      </c>
      <c r="C137" s="363" t="s">
        <v>1896</v>
      </c>
      <c r="D137" s="356">
        <v>1</v>
      </c>
      <c r="E137" s="347">
        <v>39253</v>
      </c>
      <c r="F137" s="348" t="s">
        <v>118</v>
      </c>
      <c r="G137" s="348" t="s">
        <v>119</v>
      </c>
      <c r="H137" s="348" t="s">
        <v>988</v>
      </c>
      <c r="I137" s="348" t="s">
        <v>120</v>
      </c>
      <c r="J137" s="349">
        <f>IF(ISERROR(SEARCH(I137,cst_shinsei_STRUCTRESULT_NOTIFY_KOUFU_NAME,1)),IF(ISERROR(SEARCH(I138,cst_shinsei_STRUCTRESULT_NOTIFY_KOUFU_NAME,1)),0,1),1)</f>
        <v>0</v>
      </c>
      <c r="K137" s="375" t="s">
        <v>2818</v>
      </c>
    </row>
    <row r="138" spans="1:11" ht="12">
      <c r="A138" s="568"/>
      <c r="B138" s="367"/>
      <c r="C138" s="364"/>
      <c r="D138" s="346">
        <v>2</v>
      </c>
      <c r="E138" s="347">
        <v>40330</v>
      </c>
      <c r="F138" s="351" t="s">
        <v>1043</v>
      </c>
      <c r="G138" s="351"/>
      <c r="H138" s="351"/>
      <c r="I138" s="351" t="s">
        <v>121</v>
      </c>
      <c r="J138" s="350"/>
      <c r="K138" s="373"/>
    </row>
    <row r="139" spans="1:11" ht="12">
      <c r="A139" s="568"/>
      <c r="B139" s="367"/>
      <c r="C139" s="364"/>
      <c r="D139" s="346">
        <v>3</v>
      </c>
      <c r="E139" s="347"/>
      <c r="F139" s="351"/>
      <c r="G139" s="351"/>
      <c r="H139" s="351"/>
      <c r="I139" s="351"/>
      <c r="J139" s="350"/>
      <c r="K139" s="373"/>
    </row>
    <row r="140" spans="1:11" ht="12">
      <c r="A140" s="568"/>
      <c r="B140" s="367"/>
      <c r="C140" s="364"/>
      <c r="D140" s="346">
        <v>4</v>
      </c>
      <c r="E140" s="347"/>
      <c r="F140" s="351"/>
      <c r="G140" s="351"/>
      <c r="H140" s="351"/>
      <c r="I140" s="351"/>
      <c r="J140" s="350"/>
      <c r="K140" s="373"/>
    </row>
    <row r="141" spans="1:11" ht="12">
      <c r="A141" s="569"/>
      <c r="B141" s="368"/>
      <c r="C141" s="365"/>
      <c r="D141" s="353" t="s">
        <v>1863</v>
      </c>
      <c r="E141" s="354"/>
      <c r="F141" s="355"/>
      <c r="G141" s="355"/>
      <c r="H141" s="355"/>
      <c r="I141" s="355"/>
      <c r="J141" s="352"/>
      <c r="K141" s="374"/>
    </row>
    <row r="142" spans="1:11" ht="12">
      <c r="A142" s="570">
        <f>A137+1</f>
        <v>12</v>
      </c>
      <c r="B142" s="369" t="s">
        <v>1897</v>
      </c>
      <c r="C142" s="363" t="s">
        <v>1898</v>
      </c>
      <c r="D142" s="356">
        <v>1</v>
      </c>
      <c r="E142" s="347">
        <v>39253</v>
      </c>
      <c r="F142" s="348" t="s">
        <v>122</v>
      </c>
      <c r="G142" s="348" t="s">
        <v>123</v>
      </c>
      <c r="H142" s="348" t="s">
        <v>988</v>
      </c>
      <c r="I142" s="348" t="s">
        <v>124</v>
      </c>
      <c r="J142" s="349">
        <f>IF(ISERROR(SEARCH(I142,cst_shinsei_STRUCTRESULT_NOTIFY_KOUFU_NAME,1)),IF(ISERROR(SEARCH(I143,cst_shinsei_STRUCTRESULT_NOTIFY_KOUFU_NAME,1)),0,1),1)</f>
        <v>0</v>
      </c>
      <c r="K142" s="375" t="s">
        <v>124</v>
      </c>
    </row>
    <row r="143" spans="1:11" ht="12">
      <c r="A143" s="571"/>
      <c r="B143" s="367"/>
      <c r="C143" s="364"/>
      <c r="D143" s="346">
        <v>2</v>
      </c>
      <c r="E143" s="347"/>
      <c r="F143" s="351"/>
      <c r="G143" s="351"/>
      <c r="H143" s="351"/>
      <c r="I143" s="351" t="s">
        <v>1899</v>
      </c>
      <c r="J143" s="350"/>
      <c r="K143" s="373"/>
    </row>
    <row r="144" spans="1:11" ht="12">
      <c r="A144" s="571"/>
      <c r="B144" s="367"/>
      <c r="C144" s="364"/>
      <c r="D144" s="346">
        <v>3</v>
      </c>
      <c r="E144" s="347"/>
      <c r="F144" s="351"/>
      <c r="G144" s="351"/>
      <c r="H144" s="351"/>
      <c r="I144" s="351"/>
      <c r="J144" s="350"/>
      <c r="K144" s="373"/>
    </row>
    <row r="145" spans="1:11" ht="12">
      <c r="A145" s="571"/>
      <c r="B145" s="367"/>
      <c r="C145" s="364"/>
      <c r="D145" s="346">
        <v>4</v>
      </c>
      <c r="E145" s="347"/>
      <c r="F145" s="351"/>
      <c r="G145" s="351"/>
      <c r="H145" s="351"/>
      <c r="I145" s="351"/>
      <c r="J145" s="350"/>
      <c r="K145" s="373"/>
    </row>
    <row r="146" spans="1:11" ht="12">
      <c r="A146" s="572"/>
      <c r="B146" s="368"/>
      <c r="C146" s="365"/>
      <c r="D146" s="353" t="s">
        <v>1863</v>
      </c>
      <c r="E146" s="354"/>
      <c r="F146" s="355"/>
      <c r="G146" s="355"/>
      <c r="H146" s="355"/>
      <c r="I146" s="355"/>
      <c r="J146" s="352"/>
      <c r="K146" s="374"/>
    </row>
    <row r="147" spans="1:11" ht="12">
      <c r="A147" s="570">
        <f>A142+1</f>
        <v>13</v>
      </c>
      <c r="B147" s="369" t="s">
        <v>1900</v>
      </c>
      <c r="C147" s="363" t="s">
        <v>1901</v>
      </c>
      <c r="D147" s="356">
        <v>1</v>
      </c>
      <c r="E147" s="347">
        <v>39253</v>
      </c>
      <c r="F147" s="348" t="s">
        <v>125</v>
      </c>
      <c r="G147" s="348" t="s">
        <v>126</v>
      </c>
      <c r="H147" s="348" t="s">
        <v>988</v>
      </c>
      <c r="I147" s="348" t="s">
        <v>1902</v>
      </c>
      <c r="J147" s="349">
        <f>IF(ISERROR(SEARCH(I147,cst_shinsei_STRUCTRESULT_NOTIFY_KOUFU_NAME,1)),IF(ISERROR(SEARCH(I148,cst_shinsei_STRUCTRESULT_NOTIFY_KOUFU_NAME,1)),0,1),1)</f>
        <v>0</v>
      </c>
      <c r="K147" s="375" t="s">
        <v>2819</v>
      </c>
    </row>
    <row r="148" spans="1:11" ht="12">
      <c r="A148" s="571"/>
      <c r="B148" s="367"/>
      <c r="C148" s="364"/>
      <c r="D148" s="346">
        <v>2</v>
      </c>
      <c r="E148" s="347"/>
      <c r="F148" s="351"/>
      <c r="G148" s="351"/>
      <c r="H148" s="351"/>
      <c r="I148" s="351" t="s">
        <v>1903</v>
      </c>
      <c r="J148" s="350"/>
      <c r="K148" s="373"/>
    </row>
    <row r="149" spans="1:11" ht="12">
      <c r="A149" s="571"/>
      <c r="B149" s="367"/>
      <c r="C149" s="364"/>
      <c r="D149" s="346">
        <v>3</v>
      </c>
      <c r="E149" s="347"/>
      <c r="F149" s="351"/>
      <c r="G149" s="351"/>
      <c r="H149" s="351"/>
      <c r="I149" s="351"/>
      <c r="J149" s="350"/>
      <c r="K149" s="373"/>
    </row>
    <row r="150" spans="1:11" ht="12">
      <c r="A150" s="571"/>
      <c r="B150" s="367"/>
      <c r="C150" s="364"/>
      <c r="D150" s="346">
        <v>4</v>
      </c>
      <c r="E150" s="347"/>
      <c r="F150" s="351"/>
      <c r="G150" s="351"/>
      <c r="H150" s="351"/>
      <c r="I150" s="351"/>
      <c r="J150" s="350"/>
      <c r="K150" s="373"/>
    </row>
    <row r="151" spans="1:11" ht="12">
      <c r="A151" s="572"/>
      <c r="B151" s="368"/>
      <c r="C151" s="365"/>
      <c r="D151" s="353" t="s">
        <v>1863</v>
      </c>
      <c r="E151" s="354"/>
      <c r="F151" s="355"/>
      <c r="G151" s="355"/>
      <c r="H151" s="355"/>
      <c r="I151" s="355"/>
      <c r="J151" s="352"/>
      <c r="K151" s="374"/>
    </row>
    <row r="152" spans="1:11" ht="12">
      <c r="A152" s="570">
        <f>A147+1</f>
        <v>14</v>
      </c>
      <c r="B152" s="369" t="s">
        <v>1904</v>
      </c>
      <c r="C152" s="363" t="s">
        <v>1905</v>
      </c>
      <c r="D152" s="356">
        <v>1</v>
      </c>
      <c r="E152" s="347">
        <v>39253</v>
      </c>
      <c r="F152" s="348" t="s">
        <v>127</v>
      </c>
      <c r="G152" s="348" t="s">
        <v>128</v>
      </c>
      <c r="H152" s="348" t="s">
        <v>988</v>
      </c>
      <c r="I152" s="348" t="s">
        <v>129</v>
      </c>
      <c r="J152" s="349">
        <f>IF(ISERROR(SEARCH(I152,cst_shinsei_STRUCTRESULT_NOTIFY_KOUFU_NAME,1)),IF(ISERROR(SEARCH(I153,cst_shinsei_STRUCTRESULT_NOTIFY_KOUFU_NAME,1)),0,1),1)</f>
        <v>0</v>
      </c>
      <c r="K152" s="375" t="s">
        <v>2820</v>
      </c>
    </row>
    <row r="153" spans="1:11" ht="12">
      <c r="A153" s="571"/>
      <c r="B153" s="367"/>
      <c r="C153" s="364"/>
      <c r="D153" s="346">
        <v>2</v>
      </c>
      <c r="E153" s="347">
        <v>39994</v>
      </c>
      <c r="F153" s="351" t="s">
        <v>1667</v>
      </c>
      <c r="G153" s="351"/>
      <c r="H153" s="351"/>
      <c r="I153" s="351" t="s">
        <v>130</v>
      </c>
      <c r="J153" s="350"/>
      <c r="K153" s="373"/>
    </row>
    <row r="154" spans="1:11" ht="12">
      <c r="A154" s="571"/>
      <c r="B154" s="367"/>
      <c r="C154" s="364"/>
      <c r="D154" s="346">
        <v>3</v>
      </c>
      <c r="E154" s="347"/>
      <c r="F154" s="351"/>
      <c r="G154" s="351"/>
      <c r="H154" s="351"/>
      <c r="I154" s="351"/>
      <c r="J154" s="350"/>
      <c r="K154" s="373"/>
    </row>
    <row r="155" spans="1:11" ht="12">
      <c r="A155" s="571"/>
      <c r="B155" s="367"/>
      <c r="C155" s="364"/>
      <c r="D155" s="346">
        <v>4</v>
      </c>
      <c r="E155" s="347"/>
      <c r="F155" s="351"/>
      <c r="G155" s="351"/>
      <c r="H155" s="351"/>
      <c r="I155" s="351"/>
      <c r="J155" s="350"/>
      <c r="K155" s="373"/>
    </row>
    <row r="156" spans="1:11" ht="12">
      <c r="A156" s="572"/>
      <c r="B156" s="368"/>
      <c r="C156" s="365"/>
      <c r="D156" s="353" t="s">
        <v>1906</v>
      </c>
      <c r="E156" s="354"/>
      <c r="F156" s="355"/>
      <c r="G156" s="355"/>
      <c r="H156" s="355"/>
      <c r="I156" s="355"/>
      <c r="J156" s="352"/>
      <c r="K156" s="374"/>
    </row>
    <row r="157" spans="1:11" ht="12">
      <c r="A157" s="570">
        <f>A152+1</f>
        <v>15</v>
      </c>
      <c r="B157" s="369" t="s">
        <v>1907</v>
      </c>
      <c r="C157" s="363" t="s">
        <v>2802</v>
      </c>
      <c r="D157" s="356">
        <v>1</v>
      </c>
      <c r="E157" s="347">
        <v>39253</v>
      </c>
      <c r="F157" s="348" t="s">
        <v>2803</v>
      </c>
      <c r="G157" s="348" t="s">
        <v>119</v>
      </c>
      <c r="H157" s="348" t="s">
        <v>988</v>
      </c>
      <c r="I157" s="348" t="s">
        <v>1908</v>
      </c>
      <c r="J157" s="349">
        <f>IF(ISERROR(SEARCH(I157,cst_shinsei_STRUCTRESULT_NOTIFY_KOUFU_NAME,1)),IF(ISERROR(SEARCH(I158,cst_shinsei_STRUCTRESULT_NOTIFY_KOUFU_NAME,1)),0,1),1)</f>
        <v>0</v>
      </c>
      <c r="K157" s="375" t="s">
        <v>2821</v>
      </c>
    </row>
    <row r="158" spans="1:11" ht="12">
      <c r="A158" s="571"/>
      <c r="B158" s="367"/>
      <c r="C158" s="364"/>
      <c r="D158" s="346">
        <v>2</v>
      </c>
      <c r="E158" s="347"/>
      <c r="F158" s="351"/>
      <c r="G158" s="351"/>
      <c r="H158" s="351" t="s">
        <v>1861</v>
      </c>
      <c r="I158" s="351" t="s">
        <v>1909</v>
      </c>
      <c r="J158" s="350"/>
      <c r="K158" s="373"/>
    </row>
    <row r="159" spans="1:11" ht="12">
      <c r="A159" s="571"/>
      <c r="B159" s="367"/>
      <c r="C159" s="364"/>
      <c r="D159" s="346">
        <v>3</v>
      </c>
      <c r="E159" s="347"/>
      <c r="F159" s="351"/>
      <c r="G159" s="351"/>
      <c r="H159" s="351"/>
      <c r="I159" s="351"/>
      <c r="J159" s="350"/>
      <c r="K159" s="373"/>
    </row>
    <row r="160" spans="1:11" ht="12">
      <c r="A160" s="571"/>
      <c r="B160" s="367"/>
      <c r="C160" s="364"/>
      <c r="D160" s="346">
        <v>4</v>
      </c>
      <c r="E160" s="347"/>
      <c r="F160" s="351"/>
      <c r="G160" s="351"/>
      <c r="H160" s="351"/>
      <c r="I160" s="351"/>
      <c r="J160" s="350"/>
      <c r="K160" s="373"/>
    </row>
    <row r="161" spans="1:11" ht="12">
      <c r="A161" s="572"/>
      <c r="B161" s="368"/>
      <c r="C161" s="365"/>
      <c r="D161" s="353" t="s">
        <v>1863</v>
      </c>
      <c r="E161" s="354"/>
      <c r="F161" s="355"/>
      <c r="G161" s="355"/>
      <c r="H161" s="355"/>
      <c r="I161" s="355"/>
      <c r="J161" s="352"/>
      <c r="K161" s="374"/>
    </row>
    <row r="162" spans="1:11" ht="12">
      <c r="A162" s="570">
        <f>A157+1</f>
        <v>16</v>
      </c>
      <c r="B162" s="369" t="s">
        <v>1910</v>
      </c>
      <c r="C162" s="363" t="s">
        <v>1911</v>
      </c>
      <c r="D162" s="356">
        <v>1</v>
      </c>
      <c r="E162" s="347">
        <v>39253</v>
      </c>
      <c r="F162" s="348" t="s">
        <v>131</v>
      </c>
      <c r="G162" s="348" t="s">
        <v>132</v>
      </c>
      <c r="H162" s="348" t="s">
        <v>988</v>
      </c>
      <c r="I162" s="348" t="s">
        <v>1912</v>
      </c>
      <c r="J162" s="349">
        <f>IF(ISERROR(SEARCH(I162,cst_shinsei_STRUCTRESULT_NOTIFY_KOUFU_NAME,1)),IF(ISERROR(SEARCH(I163,cst_shinsei_STRUCTRESULT_NOTIFY_KOUFU_NAME,1)),0,1),1)</f>
        <v>0</v>
      </c>
      <c r="K162" s="375" t="s">
        <v>2822</v>
      </c>
    </row>
    <row r="163" spans="1:11" ht="12">
      <c r="A163" s="571"/>
      <c r="B163" s="367"/>
      <c r="C163" s="364"/>
      <c r="D163" s="346">
        <v>2</v>
      </c>
      <c r="E163" s="347"/>
      <c r="F163" s="351"/>
      <c r="G163" s="351"/>
      <c r="H163" s="351"/>
      <c r="I163" s="351" t="s">
        <v>1912</v>
      </c>
      <c r="J163" s="350"/>
      <c r="K163" s="373"/>
    </row>
    <row r="164" spans="1:11" ht="12">
      <c r="A164" s="571"/>
      <c r="B164" s="367"/>
      <c r="C164" s="364"/>
      <c r="D164" s="346">
        <v>3</v>
      </c>
      <c r="E164" s="347"/>
      <c r="F164" s="351"/>
      <c r="G164" s="351"/>
      <c r="H164" s="351"/>
      <c r="I164" s="351"/>
      <c r="J164" s="350"/>
      <c r="K164" s="373"/>
    </row>
    <row r="165" spans="1:11" ht="12">
      <c r="A165" s="571"/>
      <c r="B165" s="367"/>
      <c r="C165" s="364"/>
      <c r="D165" s="346">
        <v>4</v>
      </c>
      <c r="E165" s="347"/>
      <c r="F165" s="351"/>
      <c r="G165" s="351"/>
      <c r="H165" s="351"/>
      <c r="I165" s="351"/>
      <c r="J165" s="350"/>
      <c r="K165" s="373"/>
    </row>
    <row r="166" spans="1:11" ht="12">
      <c r="A166" s="572"/>
      <c r="B166" s="368"/>
      <c r="C166" s="365"/>
      <c r="D166" s="353" t="s">
        <v>1863</v>
      </c>
      <c r="E166" s="354"/>
      <c r="F166" s="355"/>
      <c r="G166" s="355"/>
      <c r="H166" s="355"/>
      <c r="I166" s="355"/>
      <c r="J166" s="352"/>
      <c r="K166" s="374"/>
    </row>
    <row r="167" spans="1:11" ht="12">
      <c r="A167" s="570">
        <f>A162+1</f>
        <v>17</v>
      </c>
      <c r="B167" s="369" t="s">
        <v>1913</v>
      </c>
      <c r="C167" s="363" t="s">
        <v>1914</v>
      </c>
      <c r="D167" s="356">
        <v>1</v>
      </c>
      <c r="E167" s="347">
        <v>39253</v>
      </c>
      <c r="F167" s="348" t="s">
        <v>133</v>
      </c>
      <c r="G167" s="348" t="s">
        <v>134</v>
      </c>
      <c r="H167" s="348" t="s">
        <v>988</v>
      </c>
      <c r="I167" s="348" t="s">
        <v>1915</v>
      </c>
      <c r="J167" s="349">
        <f>IF(ISERROR(SEARCH(I167,cst_shinsei_STRUCTRESULT_NOTIFY_KOUFU_NAME,1)),IF(ISERROR(SEARCH(I168,cst_shinsei_STRUCTRESULT_NOTIFY_KOUFU_NAME,1)),0,1),1)</f>
        <v>0</v>
      </c>
      <c r="K167" s="375" t="s">
        <v>2823</v>
      </c>
    </row>
    <row r="168" spans="1:11" ht="12">
      <c r="A168" s="571"/>
      <c r="B168" s="367"/>
      <c r="C168" s="364"/>
      <c r="D168" s="346">
        <v>2</v>
      </c>
      <c r="E168" s="347"/>
      <c r="F168" s="351"/>
      <c r="G168" s="351"/>
      <c r="H168" s="351"/>
      <c r="I168" s="351" t="s">
        <v>1916</v>
      </c>
      <c r="J168" s="350"/>
      <c r="K168" s="373"/>
    </row>
    <row r="169" spans="1:11" ht="12">
      <c r="A169" s="571"/>
      <c r="B169" s="367"/>
      <c r="C169" s="364"/>
      <c r="D169" s="346">
        <v>3</v>
      </c>
      <c r="E169" s="347"/>
      <c r="F169" s="351"/>
      <c r="G169" s="351"/>
      <c r="H169" s="351"/>
      <c r="I169" s="351"/>
      <c r="J169" s="350"/>
      <c r="K169" s="373"/>
    </row>
    <row r="170" spans="1:11" ht="12">
      <c r="A170" s="571"/>
      <c r="B170" s="367"/>
      <c r="C170" s="364"/>
      <c r="D170" s="346">
        <v>4</v>
      </c>
      <c r="E170" s="347"/>
      <c r="F170" s="351"/>
      <c r="G170" s="351"/>
      <c r="H170" s="351"/>
      <c r="I170" s="351"/>
      <c r="J170" s="350"/>
      <c r="K170" s="373"/>
    </row>
    <row r="171" spans="1:11" ht="12">
      <c r="A171" s="572"/>
      <c r="B171" s="368"/>
      <c r="C171" s="365"/>
      <c r="D171" s="353" t="s">
        <v>1863</v>
      </c>
      <c r="E171" s="354"/>
      <c r="F171" s="355"/>
      <c r="G171" s="355"/>
      <c r="H171" s="355"/>
      <c r="I171" s="355"/>
      <c r="J171" s="352"/>
      <c r="K171" s="374"/>
    </row>
    <row r="172" spans="1:11" ht="12">
      <c r="A172" s="570">
        <f>A167+1</f>
        <v>18</v>
      </c>
      <c r="B172" s="369" t="s">
        <v>1917</v>
      </c>
      <c r="C172" s="363" t="s">
        <v>2955</v>
      </c>
      <c r="D172" s="356">
        <v>1</v>
      </c>
      <c r="E172" s="347">
        <v>39253</v>
      </c>
      <c r="F172" s="348" t="s">
        <v>135</v>
      </c>
      <c r="G172" s="348" t="s">
        <v>119</v>
      </c>
      <c r="H172" s="348" t="s">
        <v>988</v>
      </c>
      <c r="I172" s="348" t="s">
        <v>1918</v>
      </c>
      <c r="J172" s="349">
        <f>IF(ISERROR(SEARCH(I172,cst_shinsei_STRUCTRESULT_NOTIFY_KOUFU_NAME,1)),IF(ISERROR(SEARCH(I173,cst_shinsei_STRUCTRESULT_NOTIFY_KOUFU_NAME,1)),0,1),1)</f>
        <v>0</v>
      </c>
      <c r="K172" s="375" t="s">
        <v>2824</v>
      </c>
    </row>
    <row r="173" spans="1:11" ht="12">
      <c r="A173" s="571"/>
      <c r="B173" s="367"/>
      <c r="C173" s="364"/>
      <c r="D173" s="346">
        <v>2</v>
      </c>
      <c r="E173" s="347"/>
      <c r="F173" s="351"/>
      <c r="G173" s="351"/>
      <c r="H173" s="351"/>
      <c r="I173" s="351" t="s">
        <v>1919</v>
      </c>
      <c r="J173" s="350"/>
      <c r="K173" s="373"/>
    </row>
    <row r="174" spans="1:11" ht="12">
      <c r="A174" s="571"/>
      <c r="B174" s="367"/>
      <c r="C174" s="364"/>
      <c r="D174" s="346">
        <v>3</v>
      </c>
      <c r="E174" s="347"/>
      <c r="F174" s="351"/>
      <c r="G174" s="351"/>
      <c r="H174" s="351"/>
      <c r="I174" s="351"/>
      <c r="J174" s="350"/>
      <c r="K174" s="373"/>
    </row>
    <row r="175" spans="1:11" ht="12">
      <c r="A175" s="571"/>
      <c r="B175" s="367"/>
      <c r="C175" s="364"/>
      <c r="D175" s="346">
        <v>4</v>
      </c>
      <c r="E175" s="347"/>
      <c r="F175" s="351"/>
      <c r="G175" s="351"/>
      <c r="H175" s="351"/>
      <c r="I175" s="351"/>
      <c r="J175" s="350"/>
      <c r="K175" s="373"/>
    </row>
    <row r="176" spans="1:11" ht="12">
      <c r="A176" s="572"/>
      <c r="B176" s="368"/>
      <c r="C176" s="365"/>
      <c r="D176" s="353" t="s">
        <v>1863</v>
      </c>
      <c r="E176" s="354"/>
      <c r="F176" s="355"/>
      <c r="G176" s="355"/>
      <c r="H176" s="355"/>
      <c r="I176" s="355"/>
      <c r="J176" s="352"/>
      <c r="K176" s="374"/>
    </row>
    <row r="177" spans="1:11" ht="12">
      <c r="A177" s="570">
        <f>A172+1</f>
        <v>19</v>
      </c>
      <c r="B177" s="369" t="s">
        <v>1920</v>
      </c>
      <c r="C177" s="363" t="s">
        <v>1921</v>
      </c>
      <c r="D177" s="356">
        <v>1</v>
      </c>
      <c r="E177" s="347">
        <v>39253</v>
      </c>
      <c r="F177" s="348" t="s">
        <v>136</v>
      </c>
      <c r="G177" s="348" t="s">
        <v>119</v>
      </c>
      <c r="H177" s="348" t="s">
        <v>988</v>
      </c>
      <c r="I177" s="348" t="s">
        <v>137</v>
      </c>
      <c r="J177" s="349">
        <f>IF(ISERROR(SEARCH(I177,cst_shinsei_STRUCTRESULT_NOTIFY_KOUFU_NAME,1)),IF(ISERROR(SEARCH(I178,cst_shinsei_STRUCTRESULT_NOTIFY_KOUFU_NAME,1)),0,1),1)</f>
        <v>0</v>
      </c>
      <c r="K177" s="375" t="s">
        <v>2825</v>
      </c>
    </row>
    <row r="178" spans="1:11" ht="12">
      <c r="A178" s="571"/>
      <c r="B178" s="367"/>
      <c r="C178" s="364"/>
      <c r="D178" s="346">
        <v>2</v>
      </c>
      <c r="E178" s="347">
        <v>40330</v>
      </c>
      <c r="F178" s="351" t="s">
        <v>2025</v>
      </c>
      <c r="G178" s="348" t="s">
        <v>119</v>
      </c>
      <c r="H178" s="351"/>
      <c r="I178" s="351" t="s">
        <v>138</v>
      </c>
      <c r="J178" s="350"/>
      <c r="K178" s="373"/>
    </row>
    <row r="179" spans="1:11" ht="12">
      <c r="A179" s="571"/>
      <c r="B179" s="367"/>
      <c r="C179" s="364"/>
      <c r="D179" s="346">
        <v>3</v>
      </c>
      <c r="E179" s="347"/>
      <c r="F179" s="351"/>
      <c r="G179" s="351"/>
      <c r="H179" s="351"/>
      <c r="I179" s="351"/>
      <c r="J179" s="350"/>
      <c r="K179" s="373"/>
    </row>
    <row r="180" spans="1:11" ht="12">
      <c r="A180" s="571"/>
      <c r="B180" s="367"/>
      <c r="C180" s="364"/>
      <c r="D180" s="346">
        <v>4</v>
      </c>
      <c r="E180" s="347"/>
      <c r="F180" s="351"/>
      <c r="G180" s="351"/>
      <c r="H180" s="351"/>
      <c r="I180" s="351"/>
      <c r="J180" s="350"/>
      <c r="K180" s="373"/>
    </row>
    <row r="181" spans="1:11" ht="12">
      <c r="A181" s="572"/>
      <c r="B181" s="368"/>
      <c r="C181" s="365"/>
      <c r="D181" s="353" t="s">
        <v>991</v>
      </c>
      <c r="E181" s="354"/>
      <c r="F181" s="355"/>
      <c r="G181" s="355"/>
      <c r="H181" s="355"/>
      <c r="I181" s="355"/>
      <c r="J181" s="352"/>
      <c r="K181" s="374"/>
    </row>
    <row r="182" spans="1:11" ht="12">
      <c r="A182" s="570">
        <f>A177+1</f>
        <v>20</v>
      </c>
      <c r="B182" s="369" t="s">
        <v>139</v>
      </c>
      <c r="C182" s="363" t="s">
        <v>1563</v>
      </c>
      <c r="D182" s="356">
        <v>1</v>
      </c>
      <c r="E182" s="347">
        <v>39253</v>
      </c>
      <c r="F182" s="348" t="s">
        <v>3255</v>
      </c>
      <c r="G182" s="348" t="s">
        <v>1564</v>
      </c>
      <c r="H182" s="348" t="s">
        <v>988</v>
      </c>
      <c r="I182" s="348" t="s">
        <v>1565</v>
      </c>
      <c r="J182" s="349">
        <f>IF(ISERROR(SEARCH(I182,cst_shinsei_STRUCTRESULT_NOTIFY_KOUFU_NAME,1)),IF(ISERROR(SEARCH(I183,cst_shinsei_STRUCTRESULT_NOTIFY_KOUFU_NAME,1)),0,1),1)</f>
        <v>0</v>
      </c>
      <c r="K182" s="375" t="s">
        <v>2826</v>
      </c>
    </row>
    <row r="183" spans="1:11" ht="12">
      <c r="A183" s="571"/>
      <c r="B183" s="367"/>
      <c r="C183" s="364"/>
      <c r="D183" s="346">
        <v>2</v>
      </c>
      <c r="E183" s="347">
        <v>40269</v>
      </c>
      <c r="F183" s="351" t="s">
        <v>3256</v>
      </c>
      <c r="G183" s="351" t="s">
        <v>3254</v>
      </c>
      <c r="H183" s="351"/>
      <c r="I183" s="351" t="s">
        <v>1566</v>
      </c>
      <c r="J183" s="350"/>
      <c r="K183" s="373"/>
    </row>
    <row r="184" spans="1:11" ht="12">
      <c r="A184" s="571"/>
      <c r="B184" s="367"/>
      <c r="C184" s="364"/>
      <c r="D184" s="346">
        <v>3</v>
      </c>
      <c r="E184" s="347"/>
      <c r="F184" s="351"/>
      <c r="G184" s="351"/>
      <c r="H184" s="351"/>
      <c r="I184" s="351"/>
      <c r="J184" s="350"/>
      <c r="K184" s="373"/>
    </row>
    <row r="185" spans="1:11" ht="12">
      <c r="A185" s="571"/>
      <c r="B185" s="367"/>
      <c r="C185" s="364"/>
      <c r="D185" s="346">
        <v>4</v>
      </c>
      <c r="E185" s="347"/>
      <c r="F185" s="351"/>
      <c r="G185" s="351"/>
      <c r="H185" s="351"/>
      <c r="I185" s="351"/>
      <c r="J185" s="350"/>
      <c r="K185" s="373"/>
    </row>
    <row r="186" spans="1:11" ht="12">
      <c r="A186" s="572"/>
      <c r="B186" s="368"/>
      <c r="C186" s="365"/>
      <c r="D186" s="353" t="s">
        <v>1922</v>
      </c>
      <c r="E186" s="354"/>
      <c r="F186" s="355"/>
      <c r="G186" s="355"/>
      <c r="H186" s="355"/>
      <c r="I186" s="355"/>
      <c r="J186" s="352"/>
      <c r="K186" s="374"/>
    </row>
    <row r="187" spans="1:11" ht="12">
      <c r="A187" s="570">
        <f>A182+1</f>
        <v>21</v>
      </c>
      <c r="B187" s="369" t="s">
        <v>1923</v>
      </c>
      <c r="C187" s="363" t="s">
        <v>1924</v>
      </c>
      <c r="D187" s="356">
        <v>1</v>
      </c>
      <c r="E187" s="347">
        <v>39253</v>
      </c>
      <c r="F187" s="348" t="s">
        <v>1567</v>
      </c>
      <c r="G187" s="348" t="s">
        <v>2584</v>
      </c>
      <c r="H187" s="348" t="s">
        <v>988</v>
      </c>
      <c r="I187" s="348" t="s">
        <v>1925</v>
      </c>
      <c r="J187" s="349">
        <f>IF(ISERROR(SEARCH(I187,cst_shinsei_STRUCTRESULT_NOTIFY_KOUFU_NAME,1)),IF(ISERROR(SEARCH(I188,cst_shinsei_STRUCTRESULT_NOTIFY_KOUFU_NAME,1)),0,1),1)</f>
        <v>0</v>
      </c>
      <c r="K187" s="375" t="s">
        <v>2827</v>
      </c>
    </row>
    <row r="188" spans="1:11" ht="12">
      <c r="A188" s="571"/>
      <c r="B188" s="367"/>
      <c r="C188" s="364"/>
      <c r="D188" s="346">
        <v>2</v>
      </c>
      <c r="E188" s="347"/>
      <c r="F188" s="351"/>
      <c r="G188" s="351"/>
      <c r="H188" s="351"/>
      <c r="I188" s="351" t="s">
        <v>2585</v>
      </c>
      <c r="J188" s="350"/>
      <c r="K188" s="373"/>
    </row>
    <row r="189" spans="1:11" ht="12">
      <c r="A189" s="571"/>
      <c r="B189" s="367"/>
      <c r="C189" s="364"/>
      <c r="D189" s="346">
        <v>3</v>
      </c>
      <c r="E189" s="347"/>
      <c r="F189" s="351"/>
      <c r="G189" s="351"/>
      <c r="H189" s="351"/>
      <c r="I189" s="351"/>
      <c r="J189" s="350"/>
      <c r="K189" s="373"/>
    </row>
    <row r="190" spans="1:11" ht="12">
      <c r="A190" s="571"/>
      <c r="B190" s="367"/>
      <c r="C190" s="364"/>
      <c r="D190" s="346">
        <v>4</v>
      </c>
      <c r="E190" s="347"/>
      <c r="F190" s="351"/>
      <c r="G190" s="351"/>
      <c r="H190" s="351"/>
      <c r="I190" s="351"/>
      <c r="J190" s="350"/>
      <c r="K190" s="373"/>
    </row>
    <row r="191" spans="1:11" ht="12">
      <c r="A191" s="572"/>
      <c r="B191" s="368"/>
      <c r="C191" s="365"/>
      <c r="D191" s="353" t="s">
        <v>1926</v>
      </c>
      <c r="E191" s="354"/>
      <c r="F191" s="355"/>
      <c r="G191" s="355"/>
      <c r="H191" s="355"/>
      <c r="I191" s="355"/>
      <c r="J191" s="352"/>
      <c r="K191" s="374"/>
    </row>
    <row r="192" spans="1:11" ht="12">
      <c r="A192" s="570">
        <f>A187+1</f>
        <v>22</v>
      </c>
      <c r="B192" s="369" t="s">
        <v>1927</v>
      </c>
      <c r="C192" s="363" t="s">
        <v>1928</v>
      </c>
      <c r="D192" s="356">
        <v>1</v>
      </c>
      <c r="E192" s="347">
        <v>39253</v>
      </c>
      <c r="F192" s="348"/>
      <c r="G192" s="348"/>
      <c r="H192" s="348"/>
      <c r="I192" s="348" t="s">
        <v>2586</v>
      </c>
      <c r="J192" s="349">
        <f>IF(ISERROR(SEARCH(I192,cst_shinsei_STRUCTRESULT_NOTIFY_KOUFU_NAME,1)),IF(ISERROR(SEARCH(I193,cst_shinsei_STRUCTRESULT_NOTIFY_KOUFU_NAME,1)),0,1),1)</f>
        <v>0</v>
      </c>
      <c r="K192" s="375" t="s">
        <v>2828</v>
      </c>
    </row>
    <row r="193" spans="1:11" ht="12">
      <c r="A193" s="571"/>
      <c r="B193" s="367"/>
      <c r="C193" s="364"/>
      <c r="D193" s="346">
        <v>2</v>
      </c>
      <c r="E193" s="347"/>
      <c r="F193" s="351"/>
      <c r="G193" s="351"/>
      <c r="H193" s="351"/>
      <c r="I193" s="351" t="s">
        <v>1929</v>
      </c>
      <c r="J193" s="350"/>
      <c r="K193" s="373"/>
    </row>
    <row r="194" spans="1:11" ht="12">
      <c r="A194" s="571"/>
      <c r="B194" s="367"/>
      <c r="C194" s="364"/>
      <c r="D194" s="346">
        <v>3</v>
      </c>
      <c r="E194" s="347"/>
      <c r="F194" s="351"/>
      <c r="G194" s="351"/>
      <c r="H194" s="351"/>
      <c r="I194" s="351"/>
      <c r="J194" s="350"/>
      <c r="K194" s="373"/>
    </row>
    <row r="195" spans="1:11" ht="12">
      <c r="A195" s="571"/>
      <c r="B195" s="367"/>
      <c r="C195" s="364"/>
      <c r="D195" s="346">
        <v>4</v>
      </c>
      <c r="E195" s="347"/>
      <c r="F195" s="351"/>
      <c r="G195" s="351"/>
      <c r="H195" s="351"/>
      <c r="I195" s="351"/>
      <c r="J195" s="350"/>
      <c r="K195" s="373"/>
    </row>
    <row r="196" spans="1:11" ht="12">
      <c r="A196" s="572"/>
      <c r="B196" s="368"/>
      <c r="C196" s="365"/>
      <c r="D196" s="353" t="s">
        <v>1926</v>
      </c>
      <c r="E196" s="354"/>
      <c r="F196" s="355"/>
      <c r="G196" s="355"/>
      <c r="H196" s="355"/>
      <c r="I196" s="355"/>
      <c r="J196" s="352"/>
      <c r="K196" s="374"/>
    </row>
    <row r="197" spans="1:11" ht="12">
      <c r="A197" s="573">
        <f>A192+1</f>
        <v>23</v>
      </c>
      <c r="B197" s="369" t="s">
        <v>1930</v>
      </c>
      <c r="C197" s="363" t="s">
        <v>1931</v>
      </c>
      <c r="D197" s="356">
        <v>1</v>
      </c>
      <c r="E197" s="347">
        <v>39253</v>
      </c>
      <c r="F197" s="348" t="s">
        <v>2587</v>
      </c>
      <c r="G197" s="348"/>
      <c r="H197" s="348" t="s">
        <v>989</v>
      </c>
      <c r="I197" s="348" t="s">
        <v>1932</v>
      </c>
      <c r="J197" s="349">
        <f>IF(ISERROR(SEARCH(I197,cst_shinsei_STRUCTRESULT_NOTIFY_KOUFU_NAME,1)),IF(ISERROR(SEARCH(I198,cst_shinsei_STRUCTRESULT_NOTIFY_KOUFU_NAME,1)),0,1),1)</f>
        <v>0</v>
      </c>
      <c r="K197" s="375" t="s">
        <v>2829</v>
      </c>
    </row>
    <row r="198" spans="1:11" ht="12">
      <c r="A198" s="574"/>
      <c r="B198" s="367"/>
      <c r="C198" s="364"/>
      <c r="D198" s="346">
        <v>2</v>
      </c>
      <c r="E198" s="347">
        <v>40350</v>
      </c>
      <c r="F198" s="351" t="s">
        <v>2023</v>
      </c>
      <c r="G198" s="351"/>
      <c r="H198" s="351"/>
      <c r="I198" s="351" t="s">
        <v>2588</v>
      </c>
      <c r="J198" s="350"/>
      <c r="K198" s="373"/>
    </row>
    <row r="199" spans="1:11" ht="12">
      <c r="A199" s="574"/>
      <c r="B199" s="367"/>
      <c r="C199" s="364"/>
      <c r="D199" s="346">
        <v>3</v>
      </c>
      <c r="E199" s="347"/>
      <c r="F199" s="351"/>
      <c r="G199" s="351"/>
      <c r="H199" s="351"/>
      <c r="I199" s="351"/>
      <c r="J199" s="350"/>
      <c r="K199" s="373"/>
    </row>
    <row r="200" spans="1:11" ht="12">
      <c r="A200" s="574"/>
      <c r="B200" s="367"/>
      <c r="C200" s="364"/>
      <c r="D200" s="346">
        <v>4</v>
      </c>
      <c r="E200" s="347"/>
      <c r="F200" s="351"/>
      <c r="G200" s="351"/>
      <c r="H200" s="351"/>
      <c r="I200" s="351"/>
      <c r="J200" s="350"/>
      <c r="K200" s="373"/>
    </row>
    <row r="201" spans="1:11" ht="12">
      <c r="A201" s="575"/>
      <c r="B201" s="368"/>
      <c r="C201" s="365"/>
      <c r="D201" s="353" t="s">
        <v>1873</v>
      </c>
      <c r="E201" s="354"/>
      <c r="F201" s="355"/>
      <c r="G201" s="355"/>
      <c r="H201" s="355"/>
      <c r="I201" s="355"/>
      <c r="J201" s="352"/>
      <c r="K201" s="374"/>
    </row>
    <row r="202" spans="1:11" ht="12">
      <c r="A202" s="573">
        <f>A197+1</f>
        <v>24</v>
      </c>
      <c r="B202" s="369" t="s">
        <v>1933</v>
      </c>
      <c r="C202" s="363" t="s">
        <v>1934</v>
      </c>
      <c r="D202" s="356">
        <v>1</v>
      </c>
      <c r="E202" s="347">
        <v>39253</v>
      </c>
      <c r="F202" s="348"/>
      <c r="G202" s="348"/>
      <c r="H202" s="348" t="s">
        <v>989</v>
      </c>
      <c r="I202" s="348" t="s">
        <v>3225</v>
      </c>
      <c r="J202" s="349">
        <f>IF(ISERROR(SEARCH(I202,cst_shinsei_STRUCTRESULT_NOTIFY_KOUFU_NAME,1)),IF(ISERROR(SEARCH(I203,cst_shinsei_STRUCTRESULT_NOTIFY_KOUFU_NAME,1)),0,1),1)</f>
        <v>0</v>
      </c>
      <c r="K202" s="375" t="s">
        <v>3225</v>
      </c>
    </row>
    <row r="203" spans="1:11" ht="12">
      <c r="A203" s="574"/>
      <c r="B203" s="367"/>
      <c r="C203" s="364"/>
      <c r="D203" s="346">
        <v>2</v>
      </c>
      <c r="E203" s="347"/>
      <c r="F203" s="351"/>
      <c r="G203" s="351"/>
      <c r="H203" s="351"/>
      <c r="I203" s="351" t="s">
        <v>2589</v>
      </c>
      <c r="J203" s="350"/>
      <c r="K203" s="373"/>
    </row>
    <row r="204" spans="1:11" ht="12">
      <c r="A204" s="574"/>
      <c r="B204" s="367"/>
      <c r="C204" s="364"/>
      <c r="D204" s="346">
        <v>3</v>
      </c>
      <c r="E204" s="347"/>
      <c r="F204" s="351"/>
      <c r="G204" s="351"/>
      <c r="H204" s="351"/>
      <c r="I204" s="351"/>
      <c r="J204" s="350"/>
      <c r="K204" s="373"/>
    </row>
    <row r="205" spans="1:11" ht="12">
      <c r="A205" s="574"/>
      <c r="B205" s="367"/>
      <c r="C205" s="364"/>
      <c r="D205" s="346">
        <v>4</v>
      </c>
      <c r="E205" s="347"/>
      <c r="F205" s="351"/>
      <c r="G205" s="351"/>
      <c r="H205" s="351"/>
      <c r="I205" s="351"/>
      <c r="J205" s="350"/>
      <c r="K205" s="373"/>
    </row>
    <row r="206" spans="1:11" ht="12">
      <c r="A206" s="575"/>
      <c r="B206" s="368"/>
      <c r="C206" s="365"/>
      <c r="D206" s="353" t="s">
        <v>1922</v>
      </c>
      <c r="E206" s="354"/>
      <c r="F206" s="355"/>
      <c r="G206" s="355"/>
      <c r="H206" s="355"/>
      <c r="I206" s="355"/>
      <c r="J206" s="352"/>
      <c r="K206" s="374"/>
    </row>
    <row r="207" spans="1:11" ht="12">
      <c r="A207" s="573">
        <f>A202+1</f>
        <v>25</v>
      </c>
      <c r="B207" s="369" t="s">
        <v>1935</v>
      </c>
      <c r="C207" s="363" t="s">
        <v>1936</v>
      </c>
      <c r="D207" s="356">
        <v>1</v>
      </c>
      <c r="E207" s="347">
        <v>39253</v>
      </c>
      <c r="F207" s="348" t="s">
        <v>1937</v>
      </c>
      <c r="G207" s="348"/>
      <c r="H207" s="348" t="s">
        <v>989</v>
      </c>
      <c r="I207" s="348" t="s">
        <v>2590</v>
      </c>
      <c r="J207" s="349">
        <f>IF(ISERROR(SEARCH(I207,cst_shinsei_STRUCTRESULT_NOTIFY_KOUFU_NAME,1)),IF(ISERROR(SEARCH(I208,cst_shinsei_STRUCTRESULT_NOTIFY_KOUFU_NAME,1)),0,1),1)</f>
        <v>0</v>
      </c>
      <c r="K207" s="375" t="s">
        <v>2590</v>
      </c>
    </row>
    <row r="208" spans="1:11" ht="12">
      <c r="A208" s="574"/>
      <c r="B208" s="367"/>
      <c r="C208" s="364"/>
      <c r="D208" s="346">
        <v>2</v>
      </c>
      <c r="E208" s="347"/>
      <c r="F208" s="351"/>
      <c r="G208" s="351"/>
      <c r="H208" s="351"/>
      <c r="I208" s="351" t="s">
        <v>1938</v>
      </c>
      <c r="J208" s="350"/>
      <c r="K208" s="373"/>
    </row>
    <row r="209" spans="1:11" ht="12">
      <c r="A209" s="574"/>
      <c r="B209" s="367"/>
      <c r="C209" s="364"/>
      <c r="D209" s="346">
        <v>3</v>
      </c>
      <c r="E209" s="347"/>
      <c r="F209" s="351"/>
      <c r="G209" s="351"/>
      <c r="H209" s="351"/>
      <c r="I209" s="351"/>
      <c r="J209" s="350"/>
      <c r="K209" s="373"/>
    </row>
    <row r="210" spans="1:11" ht="12">
      <c r="A210" s="574"/>
      <c r="B210" s="367"/>
      <c r="C210" s="364"/>
      <c r="D210" s="346">
        <v>4</v>
      </c>
      <c r="E210" s="347"/>
      <c r="F210" s="351"/>
      <c r="G210" s="351"/>
      <c r="H210" s="351"/>
      <c r="I210" s="351"/>
      <c r="J210" s="350"/>
      <c r="K210" s="373"/>
    </row>
    <row r="211" spans="1:11" ht="12">
      <c r="A211" s="575"/>
      <c r="B211" s="368"/>
      <c r="C211" s="365"/>
      <c r="D211" s="353" t="s">
        <v>1922</v>
      </c>
      <c r="E211" s="354"/>
      <c r="F211" s="355"/>
      <c r="G211" s="355"/>
      <c r="H211" s="355"/>
      <c r="I211" s="355"/>
      <c r="J211" s="352"/>
      <c r="K211" s="374"/>
    </row>
    <row r="212" spans="1:11" ht="12">
      <c r="A212" s="573">
        <f>A207+1</f>
        <v>26</v>
      </c>
      <c r="B212" s="369" t="s">
        <v>1939</v>
      </c>
      <c r="C212" s="363" t="s">
        <v>1940</v>
      </c>
      <c r="D212" s="356">
        <v>1</v>
      </c>
      <c r="E212" s="347">
        <v>39253</v>
      </c>
      <c r="F212" s="348"/>
      <c r="G212" s="348"/>
      <c r="H212" s="348" t="s">
        <v>989</v>
      </c>
      <c r="I212" s="348" t="s">
        <v>1941</v>
      </c>
      <c r="J212" s="349">
        <f>IF(ISERROR(SEARCH(I212,cst_shinsei_STRUCTRESULT_NOTIFY_KOUFU_NAME,1)),IF(ISERROR(SEARCH(I213,cst_shinsei_STRUCTRESULT_NOTIFY_KOUFU_NAME,1)),0,1),1)</f>
        <v>0</v>
      </c>
      <c r="K212" s="375" t="s">
        <v>2830</v>
      </c>
    </row>
    <row r="213" spans="1:11" ht="12">
      <c r="A213" s="574"/>
      <c r="B213" s="367"/>
      <c r="C213" s="364"/>
      <c r="D213" s="346">
        <v>2</v>
      </c>
      <c r="E213" s="347"/>
      <c r="F213" s="351"/>
      <c r="G213" s="351"/>
      <c r="H213" s="351"/>
      <c r="I213" s="351" t="s">
        <v>2591</v>
      </c>
      <c r="J213" s="350"/>
      <c r="K213" s="373"/>
    </row>
    <row r="214" spans="1:11" ht="12">
      <c r="A214" s="574"/>
      <c r="B214" s="367"/>
      <c r="C214" s="364"/>
      <c r="D214" s="346">
        <v>3</v>
      </c>
      <c r="E214" s="347"/>
      <c r="F214" s="351"/>
      <c r="G214" s="351"/>
      <c r="H214" s="351"/>
      <c r="I214" s="351"/>
      <c r="J214" s="350"/>
      <c r="K214" s="373"/>
    </row>
    <row r="215" spans="1:11" ht="12">
      <c r="A215" s="574"/>
      <c r="B215" s="367"/>
      <c r="C215" s="364"/>
      <c r="D215" s="346">
        <v>4</v>
      </c>
      <c r="E215" s="347"/>
      <c r="F215" s="351"/>
      <c r="G215" s="351"/>
      <c r="H215" s="351"/>
      <c r="I215" s="351"/>
      <c r="J215" s="350"/>
      <c r="K215" s="373"/>
    </row>
    <row r="216" spans="1:11" ht="12">
      <c r="A216" s="575"/>
      <c r="B216" s="368"/>
      <c r="C216" s="365"/>
      <c r="D216" s="353" t="s">
        <v>1922</v>
      </c>
      <c r="E216" s="354"/>
      <c r="F216" s="355"/>
      <c r="G216" s="355"/>
      <c r="H216" s="355"/>
      <c r="I216" s="355"/>
      <c r="J216" s="352"/>
      <c r="K216" s="374"/>
    </row>
    <row r="217" spans="1:11" ht="12">
      <c r="A217" s="579">
        <f>A212+1</f>
        <v>27</v>
      </c>
      <c r="B217" s="369" t="s">
        <v>1942</v>
      </c>
      <c r="C217" s="363" t="s">
        <v>1943</v>
      </c>
      <c r="D217" s="356">
        <v>1</v>
      </c>
      <c r="E217" s="347">
        <v>39253</v>
      </c>
      <c r="F217" s="348" t="s">
        <v>1944</v>
      </c>
      <c r="G217" s="348"/>
      <c r="H217" s="348" t="s">
        <v>2592</v>
      </c>
      <c r="I217" s="348" t="s">
        <v>2593</v>
      </c>
      <c r="J217" s="349">
        <f>IF(ISERROR(SEARCH(I217,cst_shinsei_STRUCTRESULT_NOTIFY_KOUFU_NAME,1)),IF(ISERROR(SEARCH(I218,cst_shinsei_STRUCTRESULT_NOTIFY_KOUFU_NAME,1)),0,1),1)</f>
        <v>0</v>
      </c>
      <c r="K217" s="375" t="s">
        <v>1587</v>
      </c>
    </row>
    <row r="218" spans="1:11" ht="12">
      <c r="A218" s="580"/>
      <c r="B218" s="367"/>
      <c r="C218" s="364"/>
      <c r="D218" s="346">
        <v>2</v>
      </c>
      <c r="E218" s="347">
        <v>39904</v>
      </c>
      <c r="F218" s="351" t="s">
        <v>1945</v>
      </c>
      <c r="G218" s="351"/>
      <c r="H218" s="351"/>
      <c r="I218" s="351" t="s">
        <v>2594</v>
      </c>
      <c r="J218" s="350"/>
      <c r="K218" s="373"/>
    </row>
    <row r="219" spans="1:11" ht="12">
      <c r="A219" s="580"/>
      <c r="B219" s="367"/>
      <c r="C219" s="364"/>
      <c r="D219" s="346">
        <v>3</v>
      </c>
      <c r="E219" s="347"/>
      <c r="F219" s="351"/>
      <c r="G219" s="351"/>
      <c r="H219" s="351"/>
      <c r="I219" s="351"/>
      <c r="J219" s="350"/>
      <c r="K219" s="373"/>
    </row>
    <row r="220" spans="1:11" ht="12">
      <c r="A220" s="580"/>
      <c r="B220" s="367"/>
      <c r="C220" s="364"/>
      <c r="D220" s="346">
        <v>4</v>
      </c>
      <c r="E220" s="347"/>
      <c r="F220" s="351"/>
      <c r="G220" s="351"/>
      <c r="H220" s="351"/>
      <c r="I220" s="351"/>
      <c r="J220" s="350"/>
      <c r="K220" s="373"/>
    </row>
    <row r="221" spans="1:11" ht="12">
      <c r="A221" s="581"/>
      <c r="B221" s="368"/>
      <c r="C221" s="365"/>
      <c r="D221" s="353" t="s">
        <v>1863</v>
      </c>
      <c r="E221" s="354"/>
      <c r="F221" s="355"/>
      <c r="G221" s="355"/>
      <c r="H221" s="355"/>
      <c r="I221" s="355"/>
      <c r="J221" s="352"/>
      <c r="K221" s="374"/>
    </row>
    <row r="222" spans="1:11" ht="12">
      <c r="A222" s="579">
        <f>A217+1</f>
        <v>28</v>
      </c>
      <c r="B222" s="369" t="s">
        <v>1946</v>
      </c>
      <c r="C222" s="363" t="s">
        <v>1947</v>
      </c>
      <c r="D222" s="356">
        <v>1</v>
      </c>
      <c r="E222" s="347">
        <v>39253</v>
      </c>
      <c r="F222" s="348" t="s">
        <v>1948</v>
      </c>
      <c r="G222" s="348"/>
      <c r="H222" s="348" t="s">
        <v>2592</v>
      </c>
      <c r="I222" s="348" t="s">
        <v>2595</v>
      </c>
      <c r="J222" s="349">
        <f>IF(ISERROR(SEARCH(I222,cst_shinsei_STRUCTRESULT_NOTIFY_KOUFU_NAME,1)),IF(ISERROR(SEARCH(I223,cst_shinsei_STRUCTRESULT_NOTIFY_KOUFU_NAME,1)),0,1),1)</f>
        <v>0</v>
      </c>
      <c r="K222" s="375" t="s">
        <v>1588</v>
      </c>
    </row>
    <row r="223" spans="1:11" ht="12">
      <c r="A223" s="580"/>
      <c r="B223" s="367"/>
      <c r="C223" s="364"/>
      <c r="D223" s="346">
        <v>2</v>
      </c>
      <c r="E223" s="347">
        <v>39594</v>
      </c>
      <c r="F223" s="351" t="s">
        <v>2596</v>
      </c>
      <c r="G223" s="351"/>
      <c r="H223" s="351"/>
      <c r="I223" s="351" t="s">
        <v>2597</v>
      </c>
      <c r="J223" s="350"/>
      <c r="K223" s="373"/>
    </row>
    <row r="224" spans="1:11" ht="12">
      <c r="A224" s="580"/>
      <c r="B224" s="367"/>
      <c r="C224" s="364"/>
      <c r="D224" s="346">
        <v>3</v>
      </c>
      <c r="E224" s="347">
        <v>61</v>
      </c>
      <c r="F224" s="351" t="s">
        <v>1949</v>
      </c>
      <c r="G224" s="351"/>
      <c r="H224" s="351"/>
      <c r="I224" s="351"/>
      <c r="J224" s="350"/>
      <c r="K224" s="373"/>
    </row>
    <row r="225" spans="1:11" ht="12">
      <c r="A225" s="580"/>
      <c r="B225" s="367"/>
      <c r="C225" s="364"/>
      <c r="D225" s="346">
        <v>4</v>
      </c>
      <c r="E225" s="347"/>
      <c r="F225" s="351"/>
      <c r="G225" s="351"/>
      <c r="H225" s="351"/>
      <c r="I225" s="351"/>
      <c r="J225" s="350"/>
      <c r="K225" s="373"/>
    </row>
    <row r="226" spans="1:11" ht="12">
      <c r="A226" s="581"/>
      <c r="B226" s="368"/>
      <c r="C226" s="365"/>
      <c r="D226" s="353" t="s">
        <v>1950</v>
      </c>
      <c r="E226" s="354"/>
      <c r="F226" s="355"/>
      <c r="G226" s="355"/>
      <c r="H226" s="355"/>
      <c r="I226" s="355"/>
      <c r="J226" s="352"/>
      <c r="K226" s="374"/>
    </row>
    <row r="227" spans="1:11" ht="12">
      <c r="A227" s="579">
        <f>A222+1</f>
        <v>29</v>
      </c>
      <c r="B227" s="369" t="s">
        <v>1951</v>
      </c>
      <c r="C227" s="363" t="s">
        <v>1952</v>
      </c>
      <c r="D227" s="356">
        <v>1</v>
      </c>
      <c r="E227" s="347">
        <v>39253</v>
      </c>
      <c r="F227" s="348" t="s">
        <v>2598</v>
      </c>
      <c r="G227" s="348"/>
      <c r="H227" s="348" t="s">
        <v>2592</v>
      </c>
      <c r="I227" s="348" t="s">
        <v>2599</v>
      </c>
      <c r="J227" s="349">
        <f>IF(ISERROR(SEARCH(I227,cst_shinsei_STRUCTRESULT_NOTIFY_KOUFU_NAME,1)),IF(ISERROR(SEARCH(I228,cst_shinsei_STRUCTRESULT_NOTIFY_KOUFU_NAME,1)),0,1),1)</f>
        <v>0</v>
      </c>
      <c r="K227" s="375" t="s">
        <v>1589</v>
      </c>
    </row>
    <row r="228" spans="1:11" ht="12">
      <c r="A228" s="580"/>
      <c r="B228" s="367"/>
      <c r="C228" s="364"/>
      <c r="D228" s="346">
        <v>2</v>
      </c>
      <c r="E228" s="347">
        <v>39904</v>
      </c>
      <c r="F228" s="351" t="s">
        <v>2600</v>
      </c>
      <c r="G228" s="351"/>
      <c r="H228" s="351"/>
      <c r="I228" s="351" t="s">
        <v>2601</v>
      </c>
      <c r="J228" s="350"/>
      <c r="K228" s="373"/>
    </row>
    <row r="229" spans="1:11" ht="12">
      <c r="A229" s="580"/>
      <c r="B229" s="367"/>
      <c r="C229" s="364"/>
      <c r="D229" s="346">
        <v>3</v>
      </c>
      <c r="E229" s="347"/>
      <c r="F229" s="351"/>
      <c r="G229" s="351"/>
      <c r="H229" s="351"/>
      <c r="I229" s="351"/>
      <c r="J229" s="350"/>
      <c r="K229" s="373"/>
    </row>
    <row r="230" spans="1:11" ht="12">
      <c r="A230" s="580"/>
      <c r="B230" s="367"/>
      <c r="C230" s="364"/>
      <c r="D230" s="346">
        <v>4</v>
      </c>
      <c r="E230" s="347"/>
      <c r="F230" s="351"/>
      <c r="G230" s="351"/>
      <c r="H230" s="351"/>
      <c r="I230" s="351"/>
      <c r="J230" s="350"/>
      <c r="K230" s="373"/>
    </row>
    <row r="231" spans="1:11" ht="12">
      <c r="A231" s="581"/>
      <c r="B231" s="368"/>
      <c r="C231" s="365"/>
      <c r="D231" s="353" t="s">
        <v>1863</v>
      </c>
      <c r="E231" s="354"/>
      <c r="F231" s="355"/>
      <c r="G231" s="355"/>
      <c r="H231" s="355"/>
      <c r="I231" s="355"/>
      <c r="J231" s="352"/>
      <c r="K231" s="374"/>
    </row>
    <row r="232" spans="1:11" ht="12">
      <c r="A232" s="576">
        <f>A227+1</f>
        <v>30</v>
      </c>
      <c r="B232" s="369" t="s">
        <v>1953</v>
      </c>
      <c r="C232" s="363"/>
      <c r="D232" s="356">
        <v>1</v>
      </c>
      <c r="E232" s="347">
        <v>39253</v>
      </c>
      <c r="F232" s="348"/>
      <c r="G232" s="348"/>
      <c r="H232" s="348"/>
      <c r="I232" s="348"/>
      <c r="J232" s="349"/>
      <c r="K232" s="375"/>
    </row>
    <row r="233" spans="1:11" ht="12">
      <c r="A233" s="577"/>
      <c r="B233" s="367"/>
      <c r="C233" s="364"/>
      <c r="D233" s="346">
        <v>2</v>
      </c>
      <c r="E233" s="347"/>
      <c r="F233" s="351"/>
      <c r="G233" s="351"/>
      <c r="H233" s="351"/>
      <c r="I233" s="351"/>
      <c r="J233" s="350"/>
      <c r="K233" s="373"/>
    </row>
    <row r="234" spans="1:11" ht="12">
      <c r="A234" s="577"/>
      <c r="B234" s="367"/>
      <c r="C234" s="364"/>
      <c r="D234" s="346">
        <v>3</v>
      </c>
      <c r="E234" s="347"/>
      <c r="F234" s="351"/>
      <c r="G234" s="351"/>
      <c r="H234" s="351"/>
      <c r="I234" s="351"/>
      <c r="J234" s="350"/>
      <c r="K234" s="373"/>
    </row>
    <row r="235" spans="1:11" ht="12">
      <c r="A235" s="577"/>
      <c r="B235" s="367"/>
      <c r="C235" s="364"/>
      <c r="D235" s="346">
        <v>4</v>
      </c>
      <c r="E235" s="347"/>
      <c r="F235" s="351"/>
      <c r="G235" s="351"/>
      <c r="H235" s="351"/>
      <c r="I235" s="351"/>
      <c r="J235" s="350"/>
      <c r="K235" s="373"/>
    </row>
    <row r="236" spans="1:11" ht="12">
      <c r="A236" s="578"/>
      <c r="B236" s="368"/>
      <c r="C236" s="365"/>
      <c r="D236" s="353" t="s">
        <v>1863</v>
      </c>
      <c r="E236" s="354"/>
      <c r="F236" s="355"/>
      <c r="G236" s="355"/>
      <c r="H236" s="355"/>
      <c r="I236" s="355"/>
      <c r="J236" s="352"/>
      <c r="K236" s="374"/>
    </row>
    <row r="237" spans="1:11" ht="12">
      <c r="A237" s="576">
        <f>A232+1</f>
        <v>31</v>
      </c>
      <c r="B237" s="369" t="s">
        <v>1954</v>
      </c>
      <c r="C237" s="363"/>
      <c r="D237" s="356">
        <v>1</v>
      </c>
      <c r="E237" s="347">
        <v>39253</v>
      </c>
      <c r="F237" s="348"/>
      <c r="G237" s="348"/>
      <c r="H237" s="348"/>
      <c r="I237" s="348"/>
      <c r="J237" s="349"/>
      <c r="K237" s="375"/>
    </row>
    <row r="238" spans="1:11" ht="12">
      <c r="A238" s="577"/>
      <c r="B238" s="367"/>
      <c r="C238" s="364"/>
      <c r="D238" s="346">
        <v>2</v>
      </c>
      <c r="E238" s="347"/>
      <c r="F238" s="351"/>
      <c r="G238" s="351"/>
      <c r="H238" s="351"/>
      <c r="I238" s="351"/>
      <c r="J238" s="350"/>
      <c r="K238" s="373"/>
    </row>
    <row r="239" spans="1:11" ht="12">
      <c r="A239" s="577"/>
      <c r="B239" s="367"/>
      <c r="C239" s="364"/>
      <c r="D239" s="346">
        <v>3</v>
      </c>
      <c r="E239" s="347"/>
      <c r="F239" s="351"/>
      <c r="G239" s="351"/>
      <c r="H239" s="351"/>
      <c r="I239" s="351"/>
      <c r="J239" s="350"/>
      <c r="K239" s="373"/>
    </row>
    <row r="240" spans="1:11" ht="12">
      <c r="A240" s="577"/>
      <c r="B240" s="367"/>
      <c r="C240" s="364"/>
      <c r="D240" s="346">
        <v>4</v>
      </c>
      <c r="E240" s="347"/>
      <c r="F240" s="351"/>
      <c r="G240" s="351"/>
      <c r="H240" s="351"/>
      <c r="I240" s="351"/>
      <c r="J240" s="350"/>
      <c r="K240" s="373"/>
    </row>
    <row r="241" spans="1:11" ht="12.75" thickBot="1">
      <c r="A241" s="578"/>
      <c r="B241" s="370"/>
      <c r="C241" s="365"/>
      <c r="D241" s="353" t="s">
        <v>1863</v>
      </c>
      <c r="E241" s="354"/>
      <c r="F241" s="355"/>
      <c r="G241" s="355"/>
      <c r="H241" s="355"/>
      <c r="I241" s="355"/>
      <c r="J241" s="352"/>
      <c r="K241" s="376"/>
    </row>
  </sheetData>
  <sheetProtection/>
  <mergeCells count="31">
    <mergeCell ref="A237:A241"/>
    <mergeCell ref="A207:A211"/>
    <mergeCell ref="A212:A216"/>
    <mergeCell ref="A217:A221"/>
    <mergeCell ref="A222:A226"/>
    <mergeCell ref="A232:A236"/>
    <mergeCell ref="A227:A231"/>
    <mergeCell ref="A202:A206"/>
    <mergeCell ref="A142:A146"/>
    <mergeCell ref="A147:A151"/>
    <mergeCell ref="A162:A166"/>
    <mergeCell ref="A167:A171"/>
    <mergeCell ref="A172:A176"/>
    <mergeCell ref="A182:A186"/>
    <mergeCell ref="A197:A201"/>
    <mergeCell ref="A157:A161"/>
    <mergeCell ref="A192:A196"/>
    <mergeCell ref="A187:A191"/>
    <mergeCell ref="A177:A181"/>
    <mergeCell ref="A137:A141"/>
    <mergeCell ref="A112:A116"/>
    <mergeCell ref="A117:A121"/>
    <mergeCell ref="A127:A131"/>
    <mergeCell ref="A152:A156"/>
    <mergeCell ref="A132:A136"/>
    <mergeCell ref="A107:A111"/>
    <mergeCell ref="A122:A126"/>
    <mergeCell ref="A87:A91"/>
    <mergeCell ref="A92:A96"/>
    <mergeCell ref="A97:A101"/>
    <mergeCell ref="A102:A10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2" r:id="rId1"/>
  <headerFooter alignWithMargins="0">
    <oddHeader>&amp;C&amp;A</oddHeader>
    <oddFooter>&amp;C&amp;P / &amp;N ページ</oddFooter>
  </headerFooter>
  <rowBreaks count="2" manualBreakCount="2">
    <brk id="85" max="255" man="1"/>
    <brk id="176" max="255" man="1"/>
  </rowBreaks>
</worksheet>
</file>

<file path=xl/worksheets/sheet9.xml><?xml version="1.0" encoding="utf-8"?>
<worksheet xmlns="http://schemas.openxmlformats.org/spreadsheetml/2006/main" xmlns:r="http://schemas.openxmlformats.org/officeDocument/2006/relationships">
  <sheetPr>
    <tabColor rgb="FFCCFFCC"/>
    <pageSetUpPr fitToPage="1"/>
  </sheetPr>
  <dimension ref="A1:P70"/>
  <sheetViews>
    <sheetView zoomScale="75" zoomScaleNormal="75" zoomScalePageLayoutView="0" workbookViewId="0" topLeftCell="A40">
      <selection activeCell="F59" sqref="F59"/>
    </sheetView>
  </sheetViews>
  <sheetFormatPr defaultColWidth="12.83203125" defaultRowHeight="16.5" customHeight="1"/>
  <cols>
    <col min="1" max="1" width="23.33203125" style="23" customWidth="1"/>
    <col min="2" max="2" width="6.66015625" style="23" customWidth="1"/>
    <col min="3" max="3" width="9.83203125" style="23" customWidth="1"/>
    <col min="4" max="4" width="14.83203125" style="23" customWidth="1"/>
    <col min="5" max="5" width="20.83203125" style="23" customWidth="1"/>
    <col min="6" max="6" width="23.66015625" style="23" customWidth="1"/>
    <col min="7" max="9" width="25.83203125" style="23" customWidth="1"/>
    <col min="10" max="10" width="10" style="23" customWidth="1"/>
    <col min="11" max="11" width="55.16015625" style="23" customWidth="1"/>
    <col min="12" max="12" width="12.83203125" style="23" customWidth="1"/>
    <col min="13" max="13" width="16.16015625" style="23" customWidth="1"/>
    <col min="14" max="14" width="32.66015625" style="23" customWidth="1"/>
    <col min="15" max="16384" width="12.83203125" style="23" customWidth="1"/>
  </cols>
  <sheetData>
    <row r="1" ht="16.5" customHeight="1">
      <c r="A1" s="23" t="s">
        <v>706</v>
      </c>
    </row>
    <row r="2" ht="16.5" customHeight="1">
      <c r="B2" s="23" t="s">
        <v>707</v>
      </c>
    </row>
    <row r="3" ht="16.5" customHeight="1">
      <c r="B3" s="23" t="s">
        <v>1718</v>
      </c>
    </row>
    <row r="4" ht="16.5" customHeight="1">
      <c r="B4" s="23" t="s">
        <v>1719</v>
      </c>
    </row>
    <row r="5" ht="16.5" customHeight="1">
      <c r="D5" s="24"/>
    </row>
    <row r="6" spans="1:9" ht="16.5" customHeight="1">
      <c r="A6" s="25" t="s">
        <v>1720</v>
      </c>
      <c r="B6" s="26"/>
      <c r="C6" s="26"/>
      <c r="D6" s="27"/>
      <c r="E6" s="25" t="s">
        <v>1721</v>
      </c>
      <c r="F6" s="26"/>
      <c r="G6" s="26"/>
      <c r="H6" s="26"/>
      <c r="I6" s="27"/>
    </row>
    <row r="7" spans="1:16" ht="16.5" customHeight="1">
      <c r="A7" s="28" t="s">
        <v>1722</v>
      </c>
      <c r="B7" s="29" t="s">
        <v>1723</v>
      </c>
      <c r="C7" s="28" t="s">
        <v>1724</v>
      </c>
      <c r="D7" s="30" t="s">
        <v>1725</v>
      </c>
      <c r="E7" s="28" t="s">
        <v>1726</v>
      </c>
      <c r="F7" s="28" t="s">
        <v>1727</v>
      </c>
      <c r="G7" s="28" t="s">
        <v>1728</v>
      </c>
      <c r="H7" s="28" t="s">
        <v>708</v>
      </c>
      <c r="I7" s="28" t="s">
        <v>709</v>
      </c>
      <c r="K7" s="23" t="s">
        <v>710</v>
      </c>
      <c r="L7" s="23" t="s">
        <v>1726</v>
      </c>
      <c r="M7" s="23" t="s">
        <v>1727</v>
      </c>
      <c r="N7" s="23" t="s">
        <v>711</v>
      </c>
      <c r="O7" s="23" t="s">
        <v>708</v>
      </c>
      <c r="P7" s="23" t="s">
        <v>2794</v>
      </c>
    </row>
    <row r="8" spans="1:16" ht="16.5" customHeight="1">
      <c r="A8" s="23" t="s">
        <v>1250</v>
      </c>
      <c r="B8" s="31">
        <f aca="true" t="shared" si="0" ref="B8:B19">C8</f>
        <v>2</v>
      </c>
      <c r="C8" s="28">
        <f aca="true" t="shared" si="1" ref="C8:C16">IF(ISNA(MATCH(D8,cst_CORP_INFO__change_day_erea,0)),MATCH(D8,cst_CORP_INFO__change_day_erea,1),MATCH(D8,cst_CORP_INFO__change_day_erea,0))</f>
        <v>2</v>
      </c>
      <c r="D8" s="30">
        <f ca="1">IF(shinsei_PROVO_DATE="",TODAY(),shinsei_PROVO_DATE)</f>
        <v>42671</v>
      </c>
      <c r="E8" s="32">
        <f ca="1">IF(OFFSET(cst_CORP_INFO__base_point,cst_CORP_INFO__list_box_ctrl__Jizen,4,1,1)="","",OFFSET(cst_CORP_INFO__base_point,cst_CORP_INFO__list_box_ctrl__Jizen,4,1,1))</f>
      </c>
      <c r="F8" s="33" t="str">
        <f ca="1">IF(OFFSET(cst_CORP_INFO__base_point,cst_CORP_INFO__list_box_ctrl__Jizen,5,1,1)="","",OFFSET(cst_CORP_INFO__base_point,cst_CORP_INFO__list_box_ctrl__Jizen,5,1,1))</f>
        <v>株式会社  近確機構</v>
      </c>
      <c r="G8" s="32" t="str">
        <f ca="1">IF(OFFSET(cst_CORP_INFO__base_point,cst_CORP_INFO__list_box_ctrl__Jizen,6,1,1)="","",OFFSET(cst_CORP_INFO__base_point,cst_CORP_INFO__list_box_ctrl__Jizen,6,1,1))</f>
        <v>代表取締役　　中　川　　秀　夫</v>
      </c>
      <c r="H8" s="32" t="str">
        <f ca="1">IF(OFFSET(cst_CORP_INFO__base_point,cst_CORP_INFO__list_box_ctrl__Jizen,7,1,1)="","",OFFSET(cst_CORP_INFO__base_point,cst_CORP_INFO__list_box_ctrl__Jizen,7,1,1))</f>
        <v>大阪府大阪市中央区農人橋二丁目1番10号</v>
      </c>
      <c r="I8" s="32" t="str">
        <f ca="1">IF(OFFSET(cst_CORP_INFO__base_point,cst_CORP_INFO__list_box_ctrl__Jizen,8,1,1)="","",OFFSET(cst_CORP_INFO__base_point,cst_CORP_INFO__list_box_ctrl__Jizen,8,1,1))</f>
        <v>大阪建築会館7階</v>
      </c>
      <c r="J8" s="34"/>
      <c r="K8" s="23" t="s">
        <v>712</v>
      </c>
      <c r="L8" s="23" t="s">
        <v>713</v>
      </c>
      <c r="M8" s="23" t="s">
        <v>714</v>
      </c>
      <c r="N8" s="23" t="s">
        <v>715</v>
      </c>
      <c r="O8" s="23" t="s">
        <v>2633</v>
      </c>
      <c r="P8" s="23" t="s">
        <v>2180</v>
      </c>
    </row>
    <row r="9" spans="1:16" ht="16.5" customHeight="1">
      <c r="A9" s="23" t="s">
        <v>3219</v>
      </c>
      <c r="B9" s="31">
        <f t="shared" si="0"/>
        <v>2</v>
      </c>
      <c r="C9" s="28">
        <f t="shared" si="1"/>
        <v>2</v>
      </c>
      <c r="D9" s="35">
        <f ca="1">IF(shinsei_HIKIUKE_DATE="",TODAY(),shinsei_HIKIUKE_DATE)</f>
        <v>42272</v>
      </c>
      <c r="E9" s="32">
        <f ca="1">IF(OFFSET(cst_CORP_INFO__base_point,cst_CORP_INFO__list_box_ctrl__Hikiuke,4,1,1)="","",OFFSET(cst_CORP_INFO__base_point,cst_CORP_INFO__list_box_ctrl__Hikiuke,4,1,1))</f>
      </c>
      <c r="F9" s="33" t="str">
        <f ca="1">IF(OFFSET(cst_CORP_INFO__base_point,cst_CORP_INFO__list_box_ctrl__Hikiuke,5,1,1)="","",OFFSET(cst_CORP_INFO__base_point,cst_CORP_INFO__list_box_ctrl__Hikiuke,5,1,1))</f>
        <v>株式会社  近確機構</v>
      </c>
      <c r="G9" s="32" t="str">
        <f ca="1">IF(OFFSET(cst_CORP_INFO__base_point,cst_CORP_INFO__list_box_ctrl__Hikiuke,6,1,1)="","",OFFSET(cst_CORP_INFO__base_point,cst_CORP_INFO__list_box_ctrl__Hikiuke,6,1,1))</f>
        <v>代表取締役　　中　川　　秀　夫</v>
      </c>
      <c r="H9" s="32" t="str">
        <f ca="1">IF(OFFSET(cst_CORP_INFO__base_point,cst_CORP_INFO__list_box_ctrl__Hikiuke,7,1,1)="","",OFFSET(cst_CORP_INFO__base_point,cst_CORP_INFO__list_box_ctrl__Hikiuke,7,1,1))</f>
        <v>大阪府大阪市中央区農人橋二丁目1番10号</v>
      </c>
      <c r="I9" s="32" t="str">
        <f ca="1">IF(OFFSET(cst_CORP_INFO__base_point,cst_CORP_INFO__list_box_ctrl__Hikiuke,8,1,1)="","",OFFSET(cst_CORP_INFO__base_point,cst_CORP_INFO__list_box_ctrl__Hikiuke,8,1,1))</f>
        <v>大阪建築会館7階</v>
      </c>
      <c r="J9" s="34"/>
      <c r="K9" s="23" t="s">
        <v>716</v>
      </c>
      <c r="L9" s="23" t="s">
        <v>717</v>
      </c>
      <c r="M9" s="23" t="s">
        <v>718</v>
      </c>
      <c r="N9" s="23" t="s">
        <v>719</v>
      </c>
      <c r="O9" s="23" t="s">
        <v>2181</v>
      </c>
      <c r="P9" s="23" t="s">
        <v>2182</v>
      </c>
    </row>
    <row r="10" spans="1:16" ht="16.5" customHeight="1">
      <c r="A10" s="23" t="s">
        <v>1252</v>
      </c>
      <c r="B10" s="31">
        <f t="shared" si="0"/>
        <v>2</v>
      </c>
      <c r="C10" s="28">
        <f t="shared" si="1"/>
        <v>2</v>
      </c>
      <c r="D10" s="35">
        <f ca="1">IF(shinsei_HIKIUKE_TUUTI_DATE="",TODAY(),shinsei_HIKIUKE_TUUTI_DATE)</f>
        <v>42671</v>
      </c>
      <c r="E10" s="32">
        <f ca="1">IF(OFFSET(cst_CORP_INFO__base_point,cst_CORP_INFO__list_box_ctrl__HikiukeTuuchi,4,1,1)="","",OFFSET(cst_CORP_INFO__base_point,cst_CORP_INFO__list_box_ctrl__HikiukeTuuchi,4,1,1))</f>
      </c>
      <c r="F10" s="33" t="str">
        <f ca="1">IF(OFFSET(cst_CORP_INFO__base_point,cst_CORP_INFO__list_box_ctrl__HikiukeTuuchi,5,1,1)="","",OFFSET(cst_CORP_INFO__base_point,cst_CORP_INFO__list_box_ctrl__HikiukeTuuchi,5,1,1))</f>
        <v>株式会社  近確機構</v>
      </c>
      <c r="G10" s="32" t="str">
        <f ca="1">IF(OFFSET(cst_CORP_INFO__base_point,cst_CORP_INFO__list_box_ctrl__HikiukeTuuchi,6,1,1)="","",OFFSET(cst_CORP_INFO__base_point,cst_CORP_INFO__list_box_ctrl__HikiukeTuuchi,6,1,1))</f>
        <v>代表取締役　　中　川　　秀　夫</v>
      </c>
      <c r="H10" s="32" t="str">
        <f ca="1">IF(OFFSET(cst_CORP_INFO__base_point,cst_CORP_INFO__list_box_ctrl__HikiukeTuuchi,7,1,1)="","",OFFSET(cst_CORP_INFO__base_point,cst_CORP_INFO__list_box_ctrl__HikiukeTuuchi,7,1,1))</f>
        <v>大阪府大阪市中央区農人橋二丁目1番10号</v>
      </c>
      <c r="I10" s="32" t="str">
        <f ca="1">IF(OFFSET(cst_CORP_INFO__base_point,cst_CORP_INFO__list_box_ctrl__HikiukeTuuchi,8,1,1)="","",OFFSET(cst_CORP_INFO__base_point,cst_CORP_INFO__list_box_ctrl__HikiukeTuuchi,8,1,1))</f>
        <v>大阪建築会館7階</v>
      </c>
      <c r="J10" s="34"/>
      <c r="K10" s="23" t="s">
        <v>720</v>
      </c>
      <c r="L10" s="23" t="s">
        <v>721</v>
      </c>
      <c r="M10" s="23" t="s">
        <v>2253</v>
      </c>
      <c r="N10" s="23" t="s">
        <v>2254</v>
      </c>
      <c r="O10" s="23" t="s">
        <v>2183</v>
      </c>
      <c r="P10" s="23" t="s">
        <v>3181</v>
      </c>
    </row>
    <row r="11" spans="1:16" ht="16.5" customHeight="1">
      <c r="A11" s="23" t="s">
        <v>1253</v>
      </c>
      <c r="B11" s="31">
        <f t="shared" si="0"/>
        <v>2</v>
      </c>
      <c r="C11" s="28">
        <f t="shared" si="1"/>
        <v>2</v>
      </c>
      <c r="D11" s="35">
        <f ca="1">IF(shinsei_ISSUE_DATE="",TODAY(),shinsei_ISSUE_DATE)</f>
        <v>42671</v>
      </c>
      <c r="E11" s="32">
        <f ca="1">IF(OFFSET(cst_CORP_INFO__base_point,cst_CORP_INFO__list_box_ctrl__Issue,4,1,1)="","",OFFSET(cst_CORP_INFO__base_point,cst_CORP_INFO__list_box_ctrl__Issue,4,1,1))</f>
      </c>
      <c r="F11" s="33" t="str">
        <f ca="1">IF(OFFSET(cst_CORP_INFO__base_point,cst_CORP_INFO__list_box_ctrl__Issue,5,1,1)="","",OFFSET(cst_CORP_INFO__base_point,cst_CORP_INFO__list_box_ctrl__Issue,5,1,1))</f>
        <v>株式会社  近確機構</v>
      </c>
      <c r="G11" s="32" t="str">
        <f ca="1">IF(OFFSET(cst_CORP_INFO__base_point,cst_CORP_INFO__list_box_ctrl__Issue,6,1,1)="","",OFFSET(cst_CORP_INFO__base_point,cst_CORP_INFO__list_box_ctrl__Issue,6,1,1))</f>
        <v>代表取締役　　中　川　　秀　夫</v>
      </c>
      <c r="H11" s="32" t="str">
        <f ca="1">IF(OFFSET(cst_CORP_INFO__base_point,cst_CORP_INFO__list_box_ctrl__Issue,7,1,1)="","",OFFSET(cst_CORP_INFO__base_point,cst_CORP_INFO__list_box_ctrl__Issue,7,1,1))</f>
        <v>大阪府大阪市中央区農人橋二丁目1番10号</v>
      </c>
      <c r="I11" s="32" t="str">
        <f ca="1">IF(OFFSET(cst_CORP_INFO__base_point,cst_CORP_INFO__list_box_ctrl__Issue,8,1,1)="","",OFFSET(cst_CORP_INFO__base_point,cst_CORP_INFO__list_box_ctrl__Issue,8,1,1))</f>
        <v>大阪建築会館7階</v>
      </c>
      <c r="J11" s="34"/>
      <c r="K11" s="23" t="s">
        <v>2255</v>
      </c>
      <c r="L11" s="23" t="s">
        <v>2256</v>
      </c>
      <c r="M11" s="23" t="s">
        <v>2257</v>
      </c>
      <c r="N11" s="23" t="s">
        <v>2258</v>
      </c>
      <c r="O11" s="23" t="s">
        <v>2418</v>
      </c>
      <c r="P11" s="23" t="s">
        <v>2419</v>
      </c>
    </row>
    <row r="12" spans="1:16" ht="16.5" customHeight="1">
      <c r="A12" s="23" t="s">
        <v>1255</v>
      </c>
      <c r="B12" s="31">
        <f t="shared" si="0"/>
        <v>2</v>
      </c>
      <c r="C12" s="28">
        <f t="shared" si="1"/>
        <v>2</v>
      </c>
      <c r="D12" s="35">
        <f ca="1">IF(cst_shinsei__REPORT_DATE="",TODAY(),cst_shinsei__REPORT_DATE)</f>
        <v>42671</v>
      </c>
      <c r="E12" s="32">
        <f ca="1">IF(OFFSET(cst_CORP_INFO__base_point,cst_CORP_INFO__list_box_ctrl__Houkoku,4,1,1)="","",OFFSET(cst_CORP_INFO__base_point,cst_CORP_INFO__list_box_ctrl__Houkoku,4,1,1))</f>
      </c>
      <c r="F12" s="33" t="str">
        <f ca="1">IF(OFFSET(cst_CORP_INFO__base_point,cst_CORP_INFO__list_box_ctrl__Houkoku,5,1,1)="","",OFFSET(cst_CORP_INFO__base_point,cst_CORP_INFO__list_box_ctrl__Houkoku,5,1,1))</f>
        <v>株式会社  近確機構</v>
      </c>
      <c r="G12" s="32" t="str">
        <f ca="1">IF(OFFSET(cst_CORP_INFO__base_point,cst_CORP_INFO__list_box_ctrl__Houkoku,6,1,1)="","",OFFSET(cst_CORP_INFO__base_point,cst_CORP_INFO__list_box_ctrl__Houkoku,6,1,1))</f>
        <v>代表取締役　　中　川　　秀　夫</v>
      </c>
      <c r="H12" s="32" t="str">
        <f ca="1">IF(OFFSET(cst_CORP_INFO__base_point,cst_CORP_INFO__list_box_ctrl__Houkoku,7,1,1)="","",OFFSET(cst_CORP_INFO__base_point,cst_CORP_INFO__list_box_ctrl__Houkoku,7,1,1))</f>
        <v>大阪府大阪市中央区農人橋二丁目1番10号</v>
      </c>
      <c r="I12" s="32" t="str">
        <f ca="1">IF(OFFSET(cst_CORP_INFO__base_point,cst_CORP_INFO__list_box_ctrl__Houkoku,8,1,1)="","",OFFSET(cst_CORP_INFO__base_point,cst_CORP_INFO__list_box_ctrl__Houkoku,8,1,1))</f>
        <v>大阪建築会館7階</v>
      </c>
      <c r="J12" s="34"/>
      <c r="K12" s="23" t="s">
        <v>1385</v>
      </c>
      <c r="L12" s="23" t="s">
        <v>1386</v>
      </c>
      <c r="M12" s="23" t="s">
        <v>3233</v>
      </c>
      <c r="N12" s="23" t="s">
        <v>3234</v>
      </c>
      <c r="O12" s="23" t="s">
        <v>3235</v>
      </c>
      <c r="P12" s="23" t="s">
        <v>3236</v>
      </c>
    </row>
    <row r="13" spans="1:16" ht="16.5" customHeight="1">
      <c r="A13" s="23" t="s">
        <v>1254</v>
      </c>
      <c r="B13" s="31">
        <f t="shared" si="0"/>
        <v>2</v>
      </c>
      <c r="C13" s="28">
        <f t="shared" si="1"/>
        <v>2</v>
      </c>
      <c r="D13" s="35">
        <f ca="1">IF(cst_shinsei__NOTIFY_DATE="",TODAY(),cst_shinsei__NOTIFY_DATE)</f>
        <v>42671</v>
      </c>
      <c r="E13" s="32">
        <f ca="1">IF(OFFSET(cst_CORP_INFO__base_point,cst_CORP_INFO__list_box_ctrl__KoufuFuka,4,1,1)="","",OFFSET(cst_CORP_INFO__base_point,cst_CORP_INFO__list_box_ctrl__KoufuFuka,4,1,1))</f>
      </c>
      <c r="F13" s="33" t="str">
        <f ca="1">IF(OFFSET(cst_CORP_INFO__base_point,cst_CORP_INFO__list_box_ctrl__KoufuFuka,5,1,1)="","",OFFSET(cst_CORP_INFO__base_point,cst_CORP_INFO__list_box_ctrl__KoufuFuka,5,1,1))</f>
        <v>株式会社  近確機構</v>
      </c>
      <c r="G13" s="32" t="str">
        <f ca="1">IF(OFFSET(cst_CORP_INFO__base_point,cst_CORP_INFO__list_box_ctrl__KoufuFuka,6,1,1)="","",OFFSET(cst_CORP_INFO__base_point,cst_CORP_INFO__list_box_ctrl__KoufuFuka,6,1,1))</f>
        <v>代表取締役　　中　川　　秀　夫</v>
      </c>
      <c r="H13" s="32" t="str">
        <f ca="1">IF(OFFSET(cst_CORP_INFO__base_point,cst_CORP_INFO__list_box_ctrl__KoufuFuka,7,1,1)="","",OFFSET(cst_CORP_INFO__base_point,cst_CORP_INFO__list_box_ctrl__KoufuFuka,7,1,1))</f>
        <v>大阪府大阪市中央区農人橋二丁目1番10号</v>
      </c>
      <c r="I13" s="32" t="str">
        <f ca="1">IF(OFFSET(cst_CORP_INFO__base_point,cst_CORP_INFO__list_box_ctrl__KoufuFuka,8,1,1)="","",OFFSET(cst_CORP_INFO__base_point,cst_CORP_INFO__list_box_ctrl__KoufuFuka,8,1,1))</f>
        <v>大阪建築会館7階</v>
      </c>
      <c r="J13" s="34"/>
      <c r="K13" s="23" t="s">
        <v>2259</v>
      </c>
      <c r="L13" s="23" t="s">
        <v>2260</v>
      </c>
      <c r="M13" s="23" t="s">
        <v>1286</v>
      </c>
      <c r="N13" s="23" t="s">
        <v>1287</v>
      </c>
      <c r="O13" s="23" t="s">
        <v>2420</v>
      </c>
      <c r="P13" s="23" t="s">
        <v>2421</v>
      </c>
    </row>
    <row r="14" spans="1:16" ht="16.5" customHeight="1">
      <c r="A14" s="23" t="s">
        <v>1265</v>
      </c>
      <c r="B14" s="31">
        <f t="shared" si="0"/>
        <v>2</v>
      </c>
      <c r="C14" s="28">
        <f t="shared" si="1"/>
        <v>2</v>
      </c>
      <c r="D14" s="35">
        <f ca="1">IF(shinsei_FIRE_NOTIFY_DATE="",TODAY(),shinsei_FIRE_NOTIFY_DATE)</f>
        <v>42671</v>
      </c>
      <c r="E14" s="32">
        <f ca="1">IF(OFFSET(cst_CORP_INFO__base_point,cst_CORP_INFO__list_box_ctrl__FireTuuchi,4,1,1)="","",OFFSET(cst_CORP_INFO__base_point,cst_CORP_INFO__list_box_ctrl__FireTuuchi,4,1,1))</f>
      </c>
      <c r="F14" s="33" t="str">
        <f ca="1">IF(OFFSET(cst_CORP_INFO__base_point,cst_CORP_INFO__list_box_ctrl__FireTuuchi,5,1,1)="","",OFFSET(cst_CORP_INFO__base_point,cst_CORP_INFO__list_box_ctrl__FireTuuchi,5,1,1))</f>
        <v>株式会社  近確機構</v>
      </c>
      <c r="G14" s="32" t="str">
        <f ca="1">IF(OFFSET(cst_CORP_INFO__base_point,cst_CORP_INFO__list_box_ctrl__FireTuuchi,6,1,1)="","",OFFSET(cst_CORP_INFO__base_point,cst_CORP_INFO__list_box_ctrl__FireTuuchi,6,1,1))</f>
        <v>代表取締役　　中　川　　秀　夫</v>
      </c>
      <c r="H14" s="32" t="str">
        <f ca="1">IF(OFFSET(cst_CORP_INFO__base_point,cst_CORP_INFO__list_box_ctrl__FireTuuchi,7,1,1)="","",OFFSET(cst_CORP_INFO__base_point,cst_CORP_INFO__list_box_ctrl__FireTuuchi,7,1,1))</f>
        <v>大阪府大阪市中央区農人橋二丁目1番10号</v>
      </c>
      <c r="I14" s="32" t="str">
        <f ca="1">IF(OFFSET(cst_CORP_INFO__base_point,cst_CORP_INFO__list_box_ctrl__FireTuuchi,8,1,1)="","",OFFSET(cst_CORP_INFO__base_point,cst_CORP_INFO__list_box_ctrl__FireTuuchi,8,1,1))</f>
        <v>大阪建築会館7階</v>
      </c>
      <c r="J14" s="34"/>
      <c r="K14" s="23" t="s">
        <v>1775</v>
      </c>
      <c r="L14" s="23" t="s">
        <v>1776</v>
      </c>
      <c r="M14" s="23" t="s">
        <v>1777</v>
      </c>
      <c r="N14" s="23" t="s">
        <v>2616</v>
      </c>
      <c r="O14" s="23" t="s">
        <v>2422</v>
      </c>
      <c r="P14" s="23" t="s">
        <v>2423</v>
      </c>
    </row>
    <row r="15" spans="1:16" ht="16.5" customHeight="1">
      <c r="A15" s="23" t="s">
        <v>1264</v>
      </c>
      <c r="B15" s="31">
        <f t="shared" si="0"/>
        <v>2</v>
      </c>
      <c r="C15" s="28">
        <f t="shared" si="1"/>
        <v>2</v>
      </c>
      <c r="D15" s="35">
        <f ca="1">IF(shinsei_FIRE_SUBMIT_DATE="",TODAY(),shinsei_FIRE_SUBMIT_DATE)</f>
        <v>42278</v>
      </c>
      <c r="E15" s="32">
        <f ca="1">IF(OFFSET(cst_CORP_INFO__base_point,cst_CORP_INFO__list_box_ctrl__FireDoui,4,1,1)="","",OFFSET(cst_CORP_INFO__base_point,cst_CORP_INFO__list_box_ctrl__FireDoui,4,1,1))</f>
      </c>
      <c r="F15" s="33" t="str">
        <f ca="1">IF(OFFSET(cst_CORP_INFO__base_point,cst_CORP_INFO__list_box_ctrl__FireDoui,5,1,1)="","",OFFSET(cst_CORP_INFO__base_point,cst_CORP_INFO__list_box_ctrl__FireDoui,5,1,1))</f>
        <v>株式会社  近確機構</v>
      </c>
      <c r="G15" s="32" t="str">
        <f ca="1">IF(OFFSET(cst_CORP_INFO__base_point,cst_CORP_INFO__list_box_ctrl__FireDoui,6,1,1)="","",OFFSET(cst_CORP_INFO__base_point,cst_CORP_INFO__list_box_ctrl__FireDoui,6,1,1))</f>
        <v>代表取締役　　中　川　　秀　夫</v>
      </c>
      <c r="H15" s="32" t="str">
        <f ca="1">IF(OFFSET(cst_CORP_INFO__base_point,cst_CORP_INFO__list_box_ctrl__FireDoui,7,1,1)="","",OFFSET(cst_CORP_INFO__base_point,cst_CORP_INFO__list_box_ctrl__FireDoui,7,1,1))</f>
        <v>大阪府大阪市中央区農人橋二丁目1番10号</v>
      </c>
      <c r="I15" s="32" t="str">
        <f ca="1">IF(OFFSET(cst_CORP_INFO__base_point,cst_CORP_INFO__list_box_ctrl__FireDoui,8,1,1)="","",OFFSET(cst_CORP_INFO__base_point,cst_CORP_INFO__list_box_ctrl__FireDoui,8,1,1))</f>
        <v>大阪建築会館7階</v>
      </c>
      <c r="J15" s="34"/>
      <c r="K15" s="23" t="s">
        <v>2617</v>
      </c>
      <c r="L15" s="23" t="s">
        <v>2618</v>
      </c>
      <c r="M15" s="23" t="s">
        <v>2619</v>
      </c>
      <c r="N15" s="23" t="s">
        <v>2620</v>
      </c>
      <c r="O15" s="23" t="s">
        <v>2424</v>
      </c>
      <c r="P15" s="23" t="s">
        <v>2425</v>
      </c>
    </row>
    <row r="16" spans="1:16" ht="16.5" customHeight="1">
      <c r="A16" s="23" t="s">
        <v>1266</v>
      </c>
      <c r="B16" s="31">
        <f t="shared" si="0"/>
        <v>2</v>
      </c>
      <c r="C16" s="28">
        <f t="shared" si="1"/>
        <v>2</v>
      </c>
      <c r="D16" s="35">
        <f ca="1">IF(shinsei_HEALTH_NOTIFY_DATE="",TODAY(),shinsei_HEALTH_NOTIFY_DATE)</f>
        <v>42671</v>
      </c>
      <c r="E16" s="32">
        <f ca="1">IF(OFFSET(cst_CORP_INFO__base_point,cst_CORP_INFO__list_box_ctrl__JoukasouTuuchi,4,1,1)="","",OFFSET(cst_CORP_INFO__base_point,cst_CORP_INFO__list_box_ctrl__JoukasouTuuchi,4,1,1))</f>
      </c>
      <c r="F16" s="33" t="str">
        <f ca="1">IF(OFFSET(cst_CORP_INFO__base_point,cst_CORP_INFO__list_box_ctrl__JoukasouTuuchi,5,1,1)="","",OFFSET(cst_CORP_INFO__base_point,cst_CORP_INFO__list_box_ctrl__JoukasouTuuchi,5,1,1))</f>
        <v>株式会社  近確機構</v>
      </c>
      <c r="G16" s="32" t="str">
        <f ca="1">IF(OFFSET(cst_CORP_INFO__base_point,cst_CORP_INFO__list_box_ctrl__JoukasouTuuchi,6,1,1)="","",OFFSET(cst_CORP_INFO__base_point,cst_CORP_INFO__list_box_ctrl__JoukasouTuuchi,6,1,1))</f>
        <v>代表取締役　　中　川　　秀　夫</v>
      </c>
      <c r="H16" s="32" t="str">
        <f ca="1">IF(OFFSET(cst_CORP_INFO__base_point,cst_CORP_INFO__list_box_ctrl__JoukasouTuuchi,7,1,1)="","",OFFSET(cst_CORP_INFO__base_point,cst_CORP_INFO__list_box_ctrl__JoukasouTuuchi,7,1,1))</f>
        <v>大阪府大阪市中央区農人橋二丁目1番10号</v>
      </c>
      <c r="I16" s="32" t="str">
        <f ca="1">IF(OFFSET(cst_CORP_INFO__base_point,cst_CORP_INFO__list_box_ctrl__JoukasouTuuchi,8,1,1)="","",OFFSET(cst_CORP_INFO__base_point,cst_CORP_INFO__list_box_ctrl__JoukasouTuuchi,8,1,1))</f>
        <v>大阪建築会館7階</v>
      </c>
      <c r="J16" s="34"/>
      <c r="K16" s="23" t="s">
        <v>2944</v>
      </c>
      <c r="L16" s="23" t="s">
        <v>1243</v>
      </c>
      <c r="M16" s="23" t="s">
        <v>1244</v>
      </c>
      <c r="N16" s="23" t="s">
        <v>1245</v>
      </c>
      <c r="O16" s="23" t="s">
        <v>2426</v>
      </c>
      <c r="P16" s="23" t="s">
        <v>2427</v>
      </c>
    </row>
    <row r="17" spans="1:16" ht="16.5" customHeight="1">
      <c r="A17" s="28" t="s">
        <v>2428</v>
      </c>
      <c r="B17" s="31">
        <f t="shared" si="0"/>
        <v>2</v>
      </c>
      <c r="C17" s="28">
        <f>IF(ISNA(MATCH(D17,cst_CORP_INFO__change_day_erea,0)),MATCH(D17,cst_CORP_INFO__change_day_erea,1),MATCH(D17,cst_CORP_INFO__change_day_erea,0))</f>
        <v>2</v>
      </c>
      <c r="D17" s="35">
        <f ca="1">IF(shinsei_CHARGE_ID__RECEIPT_DATE="",TODAY(),shinsei_CHARGE_ID__RECEIPT_DATE)</f>
        <v>42671</v>
      </c>
      <c r="E17" s="32">
        <f ca="1">IF(OFFSET(cst_CORP_INFO__base_point,cst_CORP_INFO__list_box_ctrl__charge_receipt_date,4,1,1)="","",OFFSET(cst_CORP_INFO__base_point,cst_CORP_INFO__list_box_ctrl__charge_receipt_date,4,1,1))</f>
      </c>
      <c r="F17" s="33" t="str">
        <f ca="1">IF(OFFSET(cst_CORP_INFO__base_point,cst_CORP_INFO__list_box_ctrl__charge_receipt_date,5,1,1)="","",OFFSET(cst_CORP_INFO__base_point,cst_CORP_INFO__list_box_ctrl__charge_receipt_date,5,1,1))</f>
        <v>株式会社  近確機構</v>
      </c>
      <c r="G17" s="32" t="str">
        <f ca="1">IF(OFFSET(cst_CORP_INFO__base_point,cst_CORP_INFO__list_box_ctrl__charge_receipt_date,6,1,1)="","",OFFSET(cst_CORP_INFO__base_point,cst_CORP_INFO__list_box_ctrl__charge_receipt_date,6,1,1))</f>
        <v>代表取締役　　中　川　　秀　夫</v>
      </c>
      <c r="H17" s="32" t="str">
        <f ca="1">IF(OFFSET(cst_CORP_INFO__base_point,cst_CORP_INFO__list_box_ctrl__charge_receipt_date,7,1,1)="","",OFFSET(cst_CORP_INFO__base_point,cst_CORP_INFO__list_box_ctrl__charge_receipt_date,7,1,1))</f>
        <v>大阪府大阪市中央区農人橋二丁目1番10号</v>
      </c>
      <c r="I17" s="32" t="str">
        <f ca="1">IF(OFFSET(cst_CORP_INFO__base_point,cst_CORP_INFO__list_box_ctrl__charge_receipt_date,8,1,1)="","",OFFSET(cst_CORP_INFO__base_point,cst_CORP_INFO__list_box_ctrl__charge_receipt_date,8,1,1))</f>
        <v>大阪建築会館7階</v>
      </c>
      <c r="J17" s="34"/>
      <c r="K17" s="23" t="s">
        <v>1246</v>
      </c>
      <c r="L17" s="23" t="s">
        <v>1247</v>
      </c>
      <c r="M17" s="23" t="s">
        <v>1248</v>
      </c>
      <c r="N17" s="23" t="s">
        <v>1249</v>
      </c>
      <c r="O17" s="23" t="s">
        <v>2297</v>
      </c>
      <c r="P17" s="23" t="s">
        <v>2298</v>
      </c>
    </row>
    <row r="18" spans="1:16" ht="16.5" customHeight="1">
      <c r="A18" s="28" t="s">
        <v>2048</v>
      </c>
      <c r="B18" s="31">
        <f t="shared" si="0"/>
        <v>2</v>
      </c>
      <c r="C18" s="28">
        <f>IF(ISNA(MATCH(D18,cst_CORP_INFO__change_day_erea,0)),MATCH(D18,cst_CORP_INFO__change_day_erea,1),MATCH(D18,cst_CORP_INFO__change_day_erea,0))</f>
        <v>2</v>
      </c>
      <c r="D18" s="35">
        <f ca="1">IF(cst_charge_income_INCOME_DATE="",TODAY(),cst_charge_income_INCOME_DATE)</f>
        <v>42671</v>
      </c>
      <c r="E18" s="32">
        <f ca="1">IF(OFFSET(cst_CORP_INFO__base_point,cst_CORP_INFO__list_box_ctrl__charge_income_INCOME_DATE,4,1,1)="","",OFFSET(cst_CORP_INFO__base_point,cst_CORP_INFO__list_box_ctrl__charge_income_INCOME_DATE,4,1,1))</f>
      </c>
      <c r="F18" s="33" t="str">
        <f ca="1">IF(OFFSET(cst_CORP_INFO__base_point,cst_CORP_INFO__list_box_ctrl__charge_income_INCOME_DATE,5,1,1)="","",OFFSET(cst_CORP_INFO__base_point,cst_CORP_INFO__list_box_ctrl__charge_income_INCOME_DATE,5,1,1))</f>
        <v>株式会社  近確機構</v>
      </c>
      <c r="G18" s="32" t="str">
        <f ca="1">IF(OFFSET(cst_CORP_INFO__base_point,cst_CORP_INFO__list_box_ctrl__charge_income_INCOME_DATE,6,1,1)="","",OFFSET(cst_CORP_INFO__base_point,cst_CORP_INFO__list_box_ctrl__charge_income_INCOME_DATE,6,1,1))</f>
        <v>代表取締役　　中　川　　秀　夫</v>
      </c>
      <c r="H18" s="32" t="str">
        <f ca="1">IF(OFFSET(cst_CORP_INFO__base_point,cst_CORP_INFO__list_box_ctrl__charge_income_INCOME_DATE,7,1,1)="","",OFFSET(cst_CORP_INFO__base_point,cst_CORP_INFO__list_box_ctrl__charge_income_INCOME_DATE,7,1,1))</f>
        <v>大阪府大阪市中央区農人橋二丁目1番10号</v>
      </c>
      <c r="I18" s="32" t="str">
        <f ca="1">IF(OFFSET(cst_CORP_INFO__base_point,cst_CORP_INFO__list_box_ctrl__charge_income_INCOME_DATE,8,1,1)="","",OFFSET(cst_CORP_INFO__base_point,cst_CORP_INFO__list_box_ctrl__charge_income_INCOME_DATE,8,1,1))</f>
        <v>大阪建築会館7階</v>
      </c>
      <c r="J18" s="34"/>
      <c r="K18" s="23" t="s">
        <v>2050</v>
      </c>
      <c r="L18" s="23" t="s">
        <v>2652</v>
      </c>
      <c r="M18" s="23" t="s">
        <v>2653</v>
      </c>
      <c r="N18" s="23" t="s">
        <v>3251</v>
      </c>
      <c r="O18" s="23" t="s">
        <v>3252</v>
      </c>
      <c r="P18" s="23" t="s">
        <v>3253</v>
      </c>
    </row>
    <row r="19" spans="1:16" ht="16.5" customHeight="1">
      <c r="A19" s="28" t="s">
        <v>629</v>
      </c>
      <c r="B19" s="31">
        <f t="shared" si="0"/>
        <v>2</v>
      </c>
      <c r="C19" s="28">
        <f>IF(ISNA(MATCH(D19,cst_CORP_INFO__change_day_erea,0)),MATCH(D19,cst_CORP_INFO__change_day_erea,1),MATCH(D19,cst_CORP_INFO__change_day_erea,0))</f>
        <v>2</v>
      </c>
      <c r="D19" s="35">
        <f ca="1">IF(charge_BASE_DATE="",TODAY(),charge_BASE_DATE)</f>
        <v>42671</v>
      </c>
      <c r="E19" s="32">
        <f ca="1">IF(OFFSET(cst_CORP_INFO__base_point,cst_CORP_INFO__list_box_ctrl__charge_BASE_DATE,4,1,1)="","",OFFSET(cst_CORP_INFO__base_point,cst_CORP_INFO__list_box_ctrl__charge_BASE_DATE,4,1,1))</f>
      </c>
      <c r="F19" s="33" t="str">
        <f ca="1">IF(OFFSET(cst_CORP_INFO__base_point,cst_CORP_INFO__list_box_ctrl__charge_BASE_DATE,5,1,1)="","",OFFSET(cst_CORP_INFO__base_point,cst_CORP_INFO__list_box_ctrl__charge_BASE_DATE,5,1,1))</f>
        <v>株式会社  近確機構</v>
      </c>
      <c r="G19" s="32" t="str">
        <f ca="1">IF(OFFSET(cst_CORP_INFO__base_point,cst_CORP_INFO__list_box_ctrl__charge_BASE_DATE,6,1,1)="","",OFFSET(cst_CORP_INFO__base_point,cst_CORP_INFO__list_box_ctrl__charge_BASE_DATE,6,1,1))</f>
        <v>代表取締役　　中　川　　秀　夫</v>
      </c>
      <c r="H19" s="32" t="str">
        <f ca="1">IF(OFFSET(cst_CORP_INFO__base_point,cst_CORP_INFO__list_box_ctrl__charge_BASE_DATE,7,1,1)="","",OFFSET(cst_CORP_INFO__base_point,cst_CORP_INFO__list_box_ctrl__charge_BASE_DATE,7,1,1))</f>
        <v>大阪府大阪市中央区農人橋二丁目1番10号</v>
      </c>
      <c r="I19" s="32" t="str">
        <f ca="1">IF(OFFSET(cst_CORP_INFO__base_point,cst_CORP_INFO__list_box_ctrl__charge_BASE_DATE,8,1,1)="","",OFFSET(cst_CORP_INFO__base_point,cst_CORP_INFO__list_box_ctrl__charge_BASE_DATE,8,1,1))</f>
        <v>大阪建築会館7階</v>
      </c>
      <c r="J19" s="34"/>
      <c r="K19" s="23" t="s">
        <v>2788</v>
      </c>
      <c r="L19" s="23" t="s">
        <v>2789</v>
      </c>
      <c r="M19" s="23" t="s">
        <v>2790</v>
      </c>
      <c r="N19" s="23" t="s">
        <v>2791</v>
      </c>
      <c r="O19" s="23" t="s">
        <v>2792</v>
      </c>
      <c r="P19" s="23" t="s">
        <v>2793</v>
      </c>
    </row>
    <row r="20" spans="1:16" ht="16.5" customHeight="1">
      <c r="A20" s="28"/>
      <c r="B20" s="31"/>
      <c r="C20" s="28"/>
      <c r="D20" s="35"/>
      <c r="E20" s="36"/>
      <c r="F20" s="37"/>
      <c r="G20" s="36"/>
      <c r="H20" s="38"/>
      <c r="I20" s="38"/>
      <c r="J20" s="34"/>
      <c r="K20" s="23" t="s">
        <v>2049</v>
      </c>
      <c r="L20" s="23" t="s">
        <v>2051</v>
      </c>
      <c r="M20" s="23" t="s">
        <v>2052</v>
      </c>
      <c r="N20" s="23" t="s">
        <v>2053</v>
      </c>
      <c r="O20" s="23" t="s">
        <v>2054</v>
      </c>
      <c r="P20" s="23" t="s">
        <v>2055</v>
      </c>
    </row>
    <row r="22" spans="1:4" ht="16.5" customHeight="1">
      <c r="A22" s="23" t="s">
        <v>1250</v>
      </c>
      <c r="D22" s="23" t="s">
        <v>2299</v>
      </c>
    </row>
    <row r="23" spans="1:4" ht="16.5" customHeight="1">
      <c r="A23" s="23" t="s">
        <v>1251</v>
      </c>
      <c r="D23" s="23" t="s">
        <v>2300</v>
      </c>
    </row>
    <row r="24" spans="1:4" ht="16.5" customHeight="1">
      <c r="A24" s="23" t="s">
        <v>3219</v>
      </c>
      <c r="D24" s="23" t="s">
        <v>2435</v>
      </c>
    </row>
    <row r="25" spans="1:4" ht="16.5" customHeight="1">
      <c r="A25" s="23" t="s">
        <v>1252</v>
      </c>
      <c r="D25" s="23" t="s">
        <v>2436</v>
      </c>
    </row>
    <row r="26" spans="1:4" ht="16.5" customHeight="1">
      <c r="A26" s="23" t="s">
        <v>1253</v>
      </c>
      <c r="D26" s="23" t="s">
        <v>2437</v>
      </c>
    </row>
    <row r="27" spans="1:4" ht="16.5" customHeight="1">
      <c r="A27" s="23" t="s">
        <v>1254</v>
      </c>
      <c r="D27" s="23" t="s">
        <v>2438</v>
      </c>
    </row>
    <row r="28" spans="1:4" ht="16.5" customHeight="1">
      <c r="A28" s="23" t="s">
        <v>1255</v>
      </c>
      <c r="D28" s="23" t="s">
        <v>2439</v>
      </c>
    </row>
    <row r="29" spans="1:4" ht="16.5" customHeight="1">
      <c r="A29" s="23" t="s">
        <v>1256</v>
      </c>
      <c r="D29" s="23" t="s">
        <v>2440</v>
      </c>
    </row>
    <row r="30" spans="1:4" ht="16.5" customHeight="1">
      <c r="A30" s="23" t="s">
        <v>1257</v>
      </c>
      <c r="D30" s="23" t="s">
        <v>2441</v>
      </c>
    </row>
    <row r="31" spans="1:4" ht="16.5" customHeight="1">
      <c r="A31" s="23" t="s">
        <v>1258</v>
      </c>
      <c r="D31" s="23" t="s">
        <v>2442</v>
      </c>
    </row>
    <row r="32" spans="1:4" ht="16.5" customHeight="1">
      <c r="A32" s="23" t="s">
        <v>1259</v>
      </c>
      <c r="D32" s="23" t="s">
        <v>2443</v>
      </c>
    </row>
    <row r="33" spans="1:4" ht="16.5" customHeight="1">
      <c r="A33" s="23" t="s">
        <v>1260</v>
      </c>
      <c r="D33" s="23" t="s">
        <v>2444</v>
      </c>
    </row>
    <row r="34" spans="1:4" ht="16.5" customHeight="1">
      <c r="A34" s="23" t="s">
        <v>1261</v>
      </c>
      <c r="D34" s="23" t="s">
        <v>2445</v>
      </c>
    </row>
    <row r="35" spans="1:4" ht="16.5" customHeight="1">
      <c r="A35" s="23" t="s">
        <v>1262</v>
      </c>
      <c r="D35" s="23" t="s">
        <v>2446</v>
      </c>
    </row>
    <row r="36" spans="1:4" ht="16.5" customHeight="1">
      <c r="A36" s="23" t="s">
        <v>1263</v>
      </c>
      <c r="D36" s="23" t="s">
        <v>2447</v>
      </c>
    </row>
    <row r="37" spans="1:4" ht="16.5" customHeight="1">
      <c r="A37" s="23" t="s">
        <v>1264</v>
      </c>
      <c r="D37" s="23" t="s">
        <v>2448</v>
      </c>
    </row>
    <row r="38" spans="1:4" ht="16.5" customHeight="1">
      <c r="A38" s="23" t="s">
        <v>1265</v>
      </c>
      <c r="D38" s="23" t="s">
        <v>2449</v>
      </c>
    </row>
    <row r="39" spans="1:4" ht="16.5" customHeight="1">
      <c r="A39" s="23" t="s">
        <v>1266</v>
      </c>
      <c r="D39" s="23" t="s">
        <v>2450</v>
      </c>
    </row>
    <row r="40" spans="1:4" ht="16.5" customHeight="1">
      <c r="A40" s="23" t="s">
        <v>1267</v>
      </c>
      <c r="D40" s="23" t="s">
        <v>2451</v>
      </c>
    </row>
    <row r="41" spans="1:4" ht="16.5" customHeight="1">
      <c r="A41" s="23" t="s">
        <v>1268</v>
      </c>
      <c r="D41" s="23" t="s">
        <v>2452</v>
      </c>
    </row>
    <row r="42" spans="1:4" ht="16.5" customHeight="1">
      <c r="A42" s="23" t="s">
        <v>1269</v>
      </c>
      <c r="D42" s="23" t="s">
        <v>2453</v>
      </c>
    </row>
    <row r="43" spans="1:4" ht="16.5" customHeight="1">
      <c r="A43" s="23" t="s">
        <v>1270</v>
      </c>
      <c r="D43" s="23" t="s">
        <v>2454</v>
      </c>
    </row>
    <row r="44" spans="1:4" ht="16.5" customHeight="1">
      <c r="A44" s="23" t="s">
        <v>2048</v>
      </c>
      <c r="D44" s="23" t="s">
        <v>2047</v>
      </c>
    </row>
    <row r="45" spans="1:4" ht="16.5" customHeight="1">
      <c r="A45" s="23" t="s">
        <v>629</v>
      </c>
      <c r="D45" s="23" t="s">
        <v>628</v>
      </c>
    </row>
    <row r="46" ht="16.5" customHeight="1">
      <c r="N46" s="23" t="s">
        <v>1271</v>
      </c>
    </row>
    <row r="47" ht="16.5" customHeight="1">
      <c r="F47" s="23" t="s">
        <v>2044</v>
      </c>
    </row>
    <row r="48" spans="1:7" ht="16.5" customHeight="1">
      <c r="A48" s="23" t="s">
        <v>1272</v>
      </c>
      <c r="F48" s="23" t="s">
        <v>2455</v>
      </c>
      <c r="G48" s="39"/>
    </row>
    <row r="49" spans="1:7" ht="16.5" customHeight="1">
      <c r="A49" s="23" t="s">
        <v>1273</v>
      </c>
      <c r="F49" s="23" t="s">
        <v>1274</v>
      </c>
      <c r="G49" s="39"/>
    </row>
    <row r="50" spans="1:7" ht="16.5" customHeight="1">
      <c r="A50" s="23" t="s">
        <v>149</v>
      </c>
      <c r="F50" s="23" t="s">
        <v>150</v>
      </c>
      <c r="G50" s="39"/>
    </row>
    <row r="51" spans="1:7" ht="16.5" customHeight="1">
      <c r="A51" s="23" t="s">
        <v>686</v>
      </c>
      <c r="F51" s="23" t="s">
        <v>687</v>
      </c>
      <c r="G51" s="39"/>
    </row>
    <row r="52" spans="1:6" ht="16.5" customHeight="1">
      <c r="A52" s="23" t="s">
        <v>1726</v>
      </c>
      <c r="F52" s="13" t="s">
        <v>688</v>
      </c>
    </row>
    <row r="53" spans="1:6" ht="16.5" customHeight="1">
      <c r="A53" s="23" t="s">
        <v>1727</v>
      </c>
      <c r="F53" s="13" t="s">
        <v>689</v>
      </c>
    </row>
    <row r="54" spans="1:6" ht="16.5" customHeight="1">
      <c r="A54" s="23" t="s">
        <v>711</v>
      </c>
      <c r="F54" s="13" t="s">
        <v>690</v>
      </c>
    </row>
    <row r="55" ht="16.5" customHeight="1">
      <c r="F55" s="13"/>
    </row>
    <row r="56" ht="16.5" customHeight="1">
      <c r="A56" s="23" t="s">
        <v>2456</v>
      </c>
    </row>
    <row r="57" spans="1:10" ht="16.5" customHeight="1">
      <c r="A57" s="40" t="s">
        <v>2457</v>
      </c>
      <c r="B57" s="28"/>
      <c r="C57" s="28" t="s">
        <v>2458</v>
      </c>
      <c r="D57" s="28" t="s">
        <v>2459</v>
      </c>
      <c r="E57" s="28" t="s">
        <v>1726</v>
      </c>
      <c r="F57" s="28" t="s">
        <v>1727</v>
      </c>
      <c r="G57" s="28" t="s">
        <v>1728</v>
      </c>
      <c r="H57" s="29" t="s">
        <v>691</v>
      </c>
      <c r="I57" s="29" t="s">
        <v>709</v>
      </c>
      <c r="J57" s="29" t="s">
        <v>2460</v>
      </c>
    </row>
    <row r="58" spans="1:10" ht="16.5" customHeight="1">
      <c r="A58" s="28" t="s">
        <v>2461</v>
      </c>
      <c r="B58" s="28"/>
      <c r="C58" s="28">
        <v>1</v>
      </c>
      <c r="D58" s="41">
        <v>35674</v>
      </c>
      <c r="E58" s="28"/>
      <c r="F58" s="42" t="s">
        <v>757</v>
      </c>
      <c r="G58" s="42" t="s">
        <v>613</v>
      </c>
      <c r="H58" s="40" t="s">
        <v>758</v>
      </c>
      <c r="I58" s="40" t="s">
        <v>759</v>
      </c>
      <c r="J58" s="40" t="str">
        <f aca="true" t="shared" si="2" ref="J58:J69">SUBSTITUTE(SUBSTITUTE(SUBSTITUTE(F58,"財団法人","")," ",""),"　","")&amp;"　"&amp;SUBSTITUTE(SUBSTITUTE(SUBSTITUTE(G58," ",""),"理事長",""),"　","")</f>
        <v>株式会社近畿建築確認検査機構　代表取締役中川秀夫</v>
      </c>
    </row>
    <row r="59" spans="1:10" ht="16.5" customHeight="1">
      <c r="A59" s="36"/>
      <c r="B59" s="36"/>
      <c r="C59" s="36">
        <v>2</v>
      </c>
      <c r="D59" s="41">
        <v>42156</v>
      </c>
      <c r="E59" s="28"/>
      <c r="F59" s="42" t="s">
        <v>3399</v>
      </c>
      <c r="G59" s="42" t="s">
        <v>613</v>
      </c>
      <c r="H59" s="40" t="s">
        <v>758</v>
      </c>
      <c r="I59" s="40" t="s">
        <v>759</v>
      </c>
      <c r="J59" s="40" t="str">
        <f t="shared" si="2"/>
        <v>株式会社近確機構　代表取締役中川秀夫</v>
      </c>
    </row>
    <row r="60" spans="1:10" s="43" customFormat="1" ht="16.5" customHeight="1">
      <c r="A60" s="36"/>
      <c r="B60" s="36"/>
      <c r="C60" s="36">
        <v>3</v>
      </c>
      <c r="D60" s="41"/>
      <c r="E60" s="28"/>
      <c r="F60" s="42"/>
      <c r="G60" s="37"/>
      <c r="H60" s="40"/>
      <c r="I60" s="40"/>
      <c r="J60" s="40" t="str">
        <f t="shared" si="2"/>
        <v>　</v>
      </c>
    </row>
    <row r="61" spans="1:10" s="43" customFormat="1" ht="16.5" customHeight="1">
      <c r="A61" s="36"/>
      <c r="B61" s="36"/>
      <c r="C61" s="36">
        <v>4</v>
      </c>
      <c r="D61" s="41"/>
      <c r="E61" s="36"/>
      <c r="F61" s="42"/>
      <c r="G61" s="37"/>
      <c r="H61" s="40"/>
      <c r="I61" s="40"/>
      <c r="J61" s="40" t="str">
        <f t="shared" si="2"/>
        <v>　</v>
      </c>
    </row>
    <row r="62" spans="1:10" s="43" customFormat="1" ht="16.5" customHeight="1">
      <c r="A62" s="36"/>
      <c r="B62" s="36"/>
      <c r="C62" s="36">
        <v>5</v>
      </c>
      <c r="D62" s="41"/>
      <c r="E62" s="36"/>
      <c r="F62" s="42"/>
      <c r="G62" s="37"/>
      <c r="H62" s="40"/>
      <c r="I62" s="40"/>
      <c r="J62" s="40" t="str">
        <f t="shared" si="2"/>
        <v>　</v>
      </c>
    </row>
    <row r="63" spans="1:10" s="43" customFormat="1" ht="16.5" customHeight="1">
      <c r="A63" s="36"/>
      <c r="B63" s="36"/>
      <c r="C63" s="36">
        <v>6</v>
      </c>
      <c r="D63" s="41"/>
      <c r="E63" s="36"/>
      <c r="F63" s="42"/>
      <c r="G63" s="37"/>
      <c r="H63" s="40"/>
      <c r="I63" s="40"/>
      <c r="J63" s="40" t="str">
        <f t="shared" si="2"/>
        <v>　</v>
      </c>
    </row>
    <row r="64" spans="1:10" s="43" customFormat="1" ht="16.5" customHeight="1">
      <c r="A64" s="36"/>
      <c r="B64" s="36"/>
      <c r="C64" s="36">
        <v>7</v>
      </c>
      <c r="D64" s="41"/>
      <c r="E64" s="36"/>
      <c r="F64" s="42"/>
      <c r="G64" s="37"/>
      <c r="H64" s="40"/>
      <c r="I64" s="40"/>
      <c r="J64" s="40" t="str">
        <f t="shared" si="2"/>
        <v>　</v>
      </c>
    </row>
    <row r="65" spans="1:10" s="43" customFormat="1" ht="16.5" customHeight="1">
      <c r="A65" s="36"/>
      <c r="B65" s="36"/>
      <c r="C65" s="36">
        <v>8</v>
      </c>
      <c r="D65" s="41"/>
      <c r="E65" s="36"/>
      <c r="F65" s="42"/>
      <c r="G65" s="42"/>
      <c r="H65" s="40"/>
      <c r="I65" s="40"/>
      <c r="J65" s="40" t="str">
        <f t="shared" si="2"/>
        <v>　</v>
      </c>
    </row>
    <row r="66" spans="1:10" s="43" customFormat="1" ht="16.5" customHeight="1">
      <c r="A66" s="36"/>
      <c r="B66" s="36"/>
      <c r="C66" s="36">
        <v>9</v>
      </c>
      <c r="D66" s="41"/>
      <c r="E66" s="36"/>
      <c r="F66" s="42"/>
      <c r="G66" s="42"/>
      <c r="H66" s="40"/>
      <c r="I66" s="40"/>
      <c r="J66" s="40" t="str">
        <f t="shared" si="2"/>
        <v>　</v>
      </c>
    </row>
    <row r="67" spans="1:10" s="43" customFormat="1" ht="16.5" customHeight="1">
      <c r="A67" s="36"/>
      <c r="B67" s="36"/>
      <c r="C67" s="36">
        <v>10</v>
      </c>
      <c r="D67" s="41"/>
      <c r="E67" s="36"/>
      <c r="F67" s="42"/>
      <c r="G67" s="42"/>
      <c r="H67" s="40"/>
      <c r="I67" s="40"/>
      <c r="J67" s="40" t="str">
        <f t="shared" si="2"/>
        <v>　</v>
      </c>
    </row>
    <row r="68" spans="1:10" s="43" customFormat="1" ht="16.5" customHeight="1">
      <c r="A68" s="36"/>
      <c r="B68" s="36"/>
      <c r="C68" s="36">
        <v>11</v>
      </c>
      <c r="D68" s="41"/>
      <c r="E68" s="36"/>
      <c r="F68" s="37"/>
      <c r="G68" s="37"/>
      <c r="H68" s="40"/>
      <c r="I68" s="40"/>
      <c r="J68" s="40" t="str">
        <f t="shared" si="2"/>
        <v>　</v>
      </c>
    </row>
    <row r="69" spans="1:10" s="43" customFormat="1" ht="16.5" customHeight="1">
      <c r="A69" s="36"/>
      <c r="B69" s="36"/>
      <c r="C69" s="36">
        <v>12</v>
      </c>
      <c r="D69" s="41"/>
      <c r="E69" s="36"/>
      <c r="F69" s="37"/>
      <c r="G69" s="37"/>
      <c r="H69" s="40"/>
      <c r="I69" s="40"/>
      <c r="J69" s="40" t="str">
        <f t="shared" si="2"/>
        <v>　</v>
      </c>
    </row>
    <row r="70" s="43" customFormat="1" ht="16.5" customHeight="1">
      <c r="D70" s="44"/>
    </row>
  </sheetData>
  <sheetProtection/>
  <printOptions/>
  <pageMargins left="0.7086614173228347" right="0.7086614173228347" top="0.7480314960629921" bottom="0.7480314960629921" header="0.31496062992125984" footer="0.31496062992125984"/>
  <pageSetup fitToHeight="0" fitToWidth="1" horizontalDpi="600" verticalDpi="600" orientation="portrait" paperSize="9" scale="28"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Gyaz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Matsuba Hisashi</dc:creator>
  <cp:keywords/>
  <dc:description/>
  <cp:lastModifiedBy>ito</cp:lastModifiedBy>
  <cp:lastPrinted>2016-10-27T05:31:49Z</cp:lastPrinted>
  <dcterms:created xsi:type="dcterms:W3CDTF">2009-06-29T00:44:04Z</dcterms:created>
  <dcterms:modified xsi:type="dcterms:W3CDTF">2016-10-28T09:10:11Z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